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9615" tabRatio="717" activeTab="3"/>
  </bookViews>
  <sheets>
    <sheet name="INPUT" sheetId="1" r:id="rId1"/>
    <sheet name="U11 Tri" sheetId="2" r:id="rId2"/>
    <sheet name="U13B Tri" sheetId="3" r:id="rId3"/>
    <sheet name="U13G Tri" sheetId="4" r:id="rId4"/>
    <sheet name="U15B Pent" sheetId="5" r:id="rId5"/>
    <sheet name="U15G Pent" sheetId="6" r:id="rId6"/>
    <sheet name="U17B Pent" sheetId="7" r:id="rId7"/>
    <sheet name="U17W Pent" sheetId="8" r:id="rId8"/>
    <sheet name="Scoring Tables" sheetId="9" r:id="rId9"/>
    <sheet name="AAA Grades" sheetId="10" r:id="rId10"/>
    <sheet name="Lists" sheetId="11" r:id="rId11"/>
  </sheets>
  <definedNames>
    <definedName name="AAA_U13B_100m">'AAA Grades'!$B$41:$E$41</definedName>
    <definedName name="AAA_U13B_75mH">'AAA Grades'!$B$46:$E$46</definedName>
    <definedName name="AAA_U13B_800m">'AAA Grades'!$B$44:$E$44</definedName>
    <definedName name="AAA_U13B_HJ">'AAA Grades'!$B$47:$E$47</definedName>
    <definedName name="AAA_U13B_Jav">'AAA Grades'!$B$49:$E$49</definedName>
    <definedName name="AAA_U13B_LJ">'AAA Grades'!$B$48:$E$48</definedName>
    <definedName name="AAA_U13B_Shot">'AAA Grades'!$B$51:$E$51</definedName>
    <definedName name="AAA_U13G_100m">'AAA Grades'!$H$40:$K$40</definedName>
    <definedName name="AAA_U13G_70mH">'AAA Grades'!$H$46:$K$46</definedName>
    <definedName name="AAA_U13G_800m">'AAA Grades'!$H$43:$K$43</definedName>
    <definedName name="AAA_U13G_HJ">'AAA Grades'!$H$47:$K$47</definedName>
    <definedName name="AAA_U13G_Jav">'AAA Grades'!$H$49:$K$49</definedName>
    <definedName name="AAA_U13G_LJ">'AAA Grades'!$H$48:$K$48</definedName>
    <definedName name="AAA_U13G_Shot">'AAA Grades'!$H$51:$K$51</definedName>
    <definedName name="AAA_U15B_800m">'AAA Grades'!$B$25:$E$25</definedName>
    <definedName name="AAA_U15B_80mH">'AAA Grades'!$B$28:$E$28</definedName>
    <definedName name="AAA_U15B_HJ">'AAA Grades'!$B$29:$E$29</definedName>
    <definedName name="AAA_U15B_LJ">'AAA Grades'!$B$30:$E$30</definedName>
    <definedName name="AAA_U15B_Shot">'AAA Grades'!$B$36:$E$36</definedName>
    <definedName name="AAA_U15G_75mH">'AAA Grades'!$H$29:$K$29</definedName>
    <definedName name="AAA_U15G_800m">'AAA Grades'!$H$26:$K$26</definedName>
    <definedName name="AAA_U15G_HJ">'AAA Grades'!$H$30:$K$30</definedName>
    <definedName name="AAA_U15G_LJ">'AAA Grades'!$H$31:$K$31</definedName>
    <definedName name="AAA_U15G_Shot">'AAA Grades'!$H$36:$K$36</definedName>
    <definedName name="AAA_U17M_100mH">'AAA Grades'!$B$10:$E$10</definedName>
    <definedName name="AAA_U17M_800m">'AAA Grades'!$B$7:$E$7</definedName>
    <definedName name="AAA_U17M_HJ">'AAA Grades'!$B$12:$E$12</definedName>
    <definedName name="AAA_U17M_LJ">'AAA Grades'!$B$13:$E$13</definedName>
    <definedName name="AAA_U17M_Shot">'AAA Grades'!$B$19:$E$19</definedName>
    <definedName name="AAA_U17W_800m">'AAA Grades'!$H$8:$K$8</definedName>
    <definedName name="AAA_U17W_80mH">'AAA Grades'!$H$11:$K$11</definedName>
    <definedName name="AAA_U17W_HJ">'AAA Grades'!$H$13:$K$13</definedName>
    <definedName name="AAA_U17W_LJ">'AAA Grades'!$H$14:$K$14</definedName>
    <definedName name="AAA_U17W_Shot">'AAA Grades'!$H$20:$K$20</definedName>
    <definedName name="AgeCat">'Scoring Tables'!$H$107:$I$113</definedName>
    <definedName name="ArrangedBy">'INPUT'!$B$4</definedName>
    <definedName name="Clubs">'INPUT'!$A$11:$A$31</definedName>
    <definedName name="CO">'Lists'!$B$2:$B$3</definedName>
    <definedName name="Date">'INPUT'!$B$6</definedName>
    <definedName name="ESAA_U13B_80mH">'Scoring Tables'!$H$132:$L$132</definedName>
    <definedName name="ESAA_U17M_100mH">'Scoring Tables'!$H$127:$L$127</definedName>
    <definedName name="ESAA_U17M_800m">'Scoring Tables'!$H$133:$L$133</definedName>
    <definedName name="EventTitle">'INPUT'!$B$3</definedName>
    <definedName name="M_U15_800m">'Scoring Tables'!$H$133:$L$133</definedName>
    <definedName name="MF">'Lists'!$A$2:$A$3</definedName>
    <definedName name="MP_110mH">'Scoring Tables'!$B$127:$F$127</definedName>
    <definedName name="MP_HJ">'Scoring Tables'!$B$132:$F$132</definedName>
    <definedName name="MP_LJ">'Scoring Tables'!$B$134:$F$134</definedName>
    <definedName name="MP_Shot">'Scoring Tables'!$B$136:$F$136</definedName>
    <definedName name="_xlnm.Print_Area" localSheetId="1">'U11 Tri'!$A$1:$Q$70</definedName>
    <definedName name="_xlnm.Print_Titles" localSheetId="1">'U11 Tri'!$1:$6</definedName>
    <definedName name="_xlnm.Print_Titles" localSheetId="2">'U13B Tri'!$1:$6</definedName>
    <definedName name="_xlnm.Print_Titles" localSheetId="3">'U13G Tri'!$1:$6</definedName>
    <definedName name="Sponsor">'INPUT'!$B$5</definedName>
    <definedName name="T_100m">'Scoring Tables'!$B$4:$P$103</definedName>
    <definedName name="T_70_Hurdles">'Scoring Tables'!$J$10:$P$103</definedName>
    <definedName name="T_800m">'Scoring Tables'!$F$4:$P$103</definedName>
    <definedName name="T_ESAA_U15G_75mH">'Scoring Tables'!$AH$3:$AI$152</definedName>
    <definedName name="T_ESAA_U17G_80mH">'Scoring Tables'!$AJ$3:$AK$152</definedName>
    <definedName name="T_High">'Scoring Tables'!$R$4:$AC$103</definedName>
    <definedName name="T_Javlin">'Scoring Tables'!$X$14:$AC$103</definedName>
    <definedName name="T_Long">'Scoring Tables'!$S$4:$AC$103</definedName>
    <definedName name="T_Shot">'Scoring Tables'!$V$14:$AC$103</definedName>
    <definedName name="T_U11B_3_Events">'Scoring Tables'!$B$112:$F$114</definedName>
    <definedName name="T_U11G_3_Events">'Scoring Tables'!$I$112:$M$114</definedName>
    <definedName name="T_U13B_3_Events">'Scoring Tables'!$B$110:$F$114</definedName>
    <definedName name="T_U13G_3_Events">'Scoring Tables'!$I$110:$M$114</definedName>
    <definedName name="T_U15B_3_Events">'Scoring Tables'!$B$108:$F$114</definedName>
    <definedName name="T_U15G_3_Events">'Scoring Tables'!$I$108:$M$114</definedName>
    <definedName name="Table">'Scoring Tables'!$A$4:$AB$103</definedName>
    <definedName name="Team_Pos">'U11 Tri'!$AF$1:$AZ$77</definedName>
    <definedName name="WP_100mH">'Scoring Tables'!$B$144:$F$144</definedName>
    <definedName name="WP_800m">'Scoring Tables'!$B$143:$F$143</definedName>
    <definedName name="WP_HJ">'Scoring Tables'!$B$145:$F$145</definedName>
    <definedName name="WP_LJ">'Scoring Tables'!$B$146:$F$146</definedName>
    <definedName name="WP_Shot">'Scoring Tables'!$B$147:$F$147</definedName>
    <definedName name="YearStart" localSheetId="2">'U13B Tri'!#REF!</definedName>
    <definedName name="YearStart" localSheetId="3">'U13G Tri'!#REF!</definedName>
    <definedName name="YearStart" localSheetId="4">'U15B Pent'!#REF!</definedName>
    <definedName name="YearStart" localSheetId="5">'U15G Pent'!#REF!</definedName>
    <definedName name="YearStart">'U11 Tri'!$P$3</definedName>
  </definedNames>
  <calcPr fullCalcOnLoad="1"/>
</workbook>
</file>

<file path=xl/sharedStrings.xml><?xml version="1.0" encoding="utf-8"?>
<sst xmlns="http://schemas.openxmlformats.org/spreadsheetml/2006/main" count="766" uniqueCount="247">
  <si>
    <t>No.</t>
  </si>
  <si>
    <t>Name</t>
  </si>
  <si>
    <t>Club</t>
  </si>
  <si>
    <t>100m</t>
  </si>
  <si>
    <t>800m</t>
  </si>
  <si>
    <t>Jav.</t>
  </si>
  <si>
    <t>Score</t>
  </si>
  <si>
    <t>2*</t>
  </si>
  <si>
    <t>4*</t>
  </si>
  <si>
    <t>5*</t>
  </si>
  <si>
    <t>3*</t>
  </si>
  <si>
    <t>Points</t>
  </si>
  <si>
    <t>Amt. Per Extra Pt.</t>
  </si>
  <si>
    <t>200m</t>
  </si>
  <si>
    <t>300m</t>
  </si>
  <si>
    <t>400m</t>
  </si>
  <si>
    <t>1500m</t>
  </si>
  <si>
    <t>3000m</t>
  </si>
  <si>
    <t>High Jump</t>
  </si>
  <si>
    <t>Long Jump</t>
  </si>
  <si>
    <t>Triple Jump</t>
  </si>
  <si>
    <t>Pole Vault</t>
  </si>
  <si>
    <t>Shot</t>
  </si>
  <si>
    <t>Discus</t>
  </si>
  <si>
    <t>Javelin</t>
  </si>
  <si>
    <t>Hammer</t>
  </si>
  <si>
    <t>55m</t>
  </si>
  <si>
    <t>70m
75m
80m</t>
  </si>
  <si>
    <t xml:space="preserve">100m
110m </t>
  </si>
  <si>
    <t>2000m</t>
  </si>
  <si>
    <t>Standing Long Jump</t>
  </si>
  <si>
    <t>Standing Triple Jump</t>
  </si>
  <si>
    <t>Vertical Jump</t>
  </si>
  <si>
    <t>SPRINTS</t>
  </si>
  <si>
    <t>DISTANCE</t>
  </si>
  <si>
    <t>HURDLES</t>
  </si>
  <si>
    <t>STEEPLE CHASE</t>
  </si>
  <si>
    <t>Final
Posit'n</t>
  </si>
  <si>
    <t>Five
Star
Award</t>
  </si>
  <si>
    <t>Team
Score</t>
  </si>
  <si>
    <t>Boys Three Events</t>
  </si>
  <si>
    <t>Sen</t>
  </si>
  <si>
    <t>U15</t>
  </si>
  <si>
    <t>U14</t>
  </si>
  <si>
    <t>U13</t>
  </si>
  <si>
    <t>U12</t>
  </si>
  <si>
    <t>U11</t>
  </si>
  <si>
    <t>U10</t>
  </si>
  <si>
    <t>1*</t>
  </si>
  <si>
    <t>Total
Score
3 events</t>
  </si>
  <si>
    <t>Long
Jump</t>
  </si>
  <si>
    <t>Girls Three Events</t>
  </si>
  <si>
    <t>High
Jump</t>
  </si>
  <si>
    <t>Amber Tarry</t>
  </si>
  <si>
    <t>Elin Pyke</t>
  </si>
  <si>
    <t>Ceri Williams</t>
  </si>
  <si>
    <t>Charlotte Holmes</t>
  </si>
  <si>
    <t>Gemma Mayled</t>
  </si>
  <si>
    <t>Megan Rogers</t>
  </si>
  <si>
    <t>Wrexham</t>
  </si>
  <si>
    <t>Rosalie Coombs</t>
  </si>
  <si>
    <t>Marie Dixon</t>
  </si>
  <si>
    <t>Scorer:</t>
  </si>
  <si>
    <t>Checked by:</t>
  </si>
  <si>
    <t>Arranged by:</t>
  </si>
  <si>
    <t>Sponsored by:</t>
  </si>
  <si>
    <t>Katie Gardner</t>
  </si>
  <si>
    <t>80m
Hurdles</t>
  </si>
  <si>
    <t>U15 Boys Pentathlon</t>
  </si>
  <si>
    <t>Total
Points</t>
  </si>
  <si>
    <t>M
F</t>
  </si>
  <si>
    <t>M</t>
  </si>
  <si>
    <t>F</t>
  </si>
  <si>
    <t>Handforth</t>
  </si>
  <si>
    <t>Macclesfield</t>
  </si>
  <si>
    <t>Gender</t>
  </si>
  <si>
    <t>Altrincham</t>
  </si>
  <si>
    <t>Manchester Harriers</t>
  </si>
  <si>
    <t>Crewe &amp; Nantwich</t>
  </si>
  <si>
    <t>Mix
Team
Position</t>
  </si>
  <si>
    <t>Team Points</t>
  </si>
  <si>
    <t>No in Team</t>
  </si>
  <si>
    <t>Eligible Teams</t>
  </si>
  <si>
    <t>Rank</t>
  </si>
  <si>
    <t>Large (1)</t>
  </si>
  <si>
    <t>Large (2)</t>
  </si>
  <si>
    <t>Large (3)</t>
  </si>
  <si>
    <t>Date:</t>
  </si>
  <si>
    <t>City of Stoke</t>
  </si>
  <si>
    <t>C
O</t>
  </si>
  <si>
    <t>Cheshire
Open</t>
  </si>
  <si>
    <t>C</t>
  </si>
  <si>
    <t>O</t>
  </si>
  <si>
    <t>Chesh
Only</t>
  </si>
  <si>
    <t>Lucy McDermott</t>
  </si>
  <si>
    <t>Alexander Wort</t>
  </si>
  <si>
    <t>Danielle Erskine</t>
  </si>
  <si>
    <t>James Grannan</t>
  </si>
  <si>
    <t>Sophie Grannan</t>
  </si>
  <si>
    <t>Joel Norman</t>
  </si>
  <si>
    <t>IAAF Scoring Tables for Combined Events</t>
  </si>
  <si>
    <t>MEN'S</t>
  </si>
  <si>
    <t>EVENTS</t>
  </si>
  <si>
    <t>a</t>
  </si>
  <si>
    <t>b</t>
  </si>
  <si>
    <t>c</t>
  </si>
  <si>
    <t>(auto)</t>
  </si>
  <si>
    <t>110mH</t>
  </si>
  <si>
    <t>(Indoors)</t>
  </si>
  <si>
    <t>60m</t>
  </si>
  <si>
    <t>1000m</t>
  </si>
  <si>
    <t>60mH</t>
  </si>
  <si>
    <t>WOMEN'S</t>
  </si>
  <si>
    <t>100mH</t>
  </si>
  <si>
    <t>(Decathlon)</t>
  </si>
  <si>
    <t>Manual Time Measurement</t>
  </si>
  <si>
    <t>U17 Men Pentathlon</t>
  </si>
  <si>
    <t>100m
Hurdles</t>
  </si>
  <si>
    <t>James Gardner</t>
  </si>
  <si>
    <t>Nick wales</t>
  </si>
  <si>
    <t>Edward Williams</t>
  </si>
  <si>
    <t>Toby Jennings</t>
  </si>
  <si>
    <t>Adam Edgar</t>
  </si>
  <si>
    <t>Gawain Rogers</t>
  </si>
  <si>
    <t>U17 Women Pentathlon</t>
  </si>
  <si>
    <t>U13 Boys Triathlon</t>
  </si>
  <si>
    <t>U13 Girls Triathlon</t>
  </si>
  <si>
    <t>U11s Boys &amp; Girls Triathlon</t>
  </si>
  <si>
    <t>U15 Girls Pentathlon</t>
  </si>
  <si>
    <t xml:space="preserve">Chesh
Posit'n
</t>
  </si>
  <si>
    <t xml:space="preserve">Open
Posit'n
</t>
  </si>
  <si>
    <t>Clubs Entered</t>
  </si>
  <si>
    <t>Event Title</t>
  </si>
  <si>
    <t>Arranged By:</t>
  </si>
  <si>
    <t>Sponsored By:</t>
  </si>
  <si>
    <t>General Input to all Scoring Tables</t>
  </si>
  <si>
    <t>Club names in shaded area only &amp; sorted in alphabetical order</t>
  </si>
  <si>
    <t>Sophie Bowden</t>
  </si>
  <si>
    <t>Natasha Stevens</t>
  </si>
  <si>
    <t>Rebecca Devine</t>
  </si>
  <si>
    <t>Sale Harriers</t>
  </si>
  <si>
    <t>Stoke</t>
  </si>
  <si>
    <t>Eleanor Cresswell</t>
  </si>
  <si>
    <t>Jade Bramall</t>
  </si>
  <si>
    <t>Lucy Hodgson</t>
  </si>
  <si>
    <t>Conctance Burke</t>
  </si>
  <si>
    <t>Rachel Trotter</t>
  </si>
  <si>
    <t>Hannah Devine</t>
  </si>
  <si>
    <t>Michaela Brindle</t>
  </si>
  <si>
    <t>Rayne Allman</t>
  </si>
  <si>
    <t>Ahtollah Rose</t>
  </si>
  <si>
    <t>Anousheh Mahjoob</t>
  </si>
  <si>
    <t>Sian Davies</t>
  </si>
  <si>
    <t>Georgina Stockley Gardner</t>
  </si>
  <si>
    <t>Hannah Thomas</t>
  </si>
  <si>
    <t>Emily Clarke</t>
  </si>
  <si>
    <t>City of Sheffield</t>
  </si>
  <si>
    <t>Christopher Price</t>
  </si>
  <si>
    <t>Josh Edgar</t>
  </si>
  <si>
    <t>John Ashcroft</t>
  </si>
  <si>
    <t>Tom Booth</t>
  </si>
  <si>
    <t>Peter Rice</t>
  </si>
  <si>
    <t>75m
Hurdles</t>
  </si>
  <si>
    <t>70m
Hurdles</t>
  </si>
  <si>
    <t>OFFSCALE</t>
  </si>
  <si>
    <t>ERR</t>
  </si>
  <si>
    <t>ESAA U15G 75m Hurdles</t>
  </si>
  <si>
    <t>ESAA U17G 80m Hurdles</t>
  </si>
  <si>
    <t>NJ</t>
  </si>
  <si>
    <t>Manual Timing</t>
  </si>
  <si>
    <t>Parameters used are:</t>
  </si>
  <si>
    <t>A</t>
  </si>
  <si>
    <t>B*</t>
  </si>
  <si>
    <t>MALE EVENTS</t>
  </si>
  <si>
    <t>100 Meter</t>
  </si>
  <si>
    <t>200 Meter</t>
  </si>
  <si>
    <t>400 Meter</t>
  </si>
  <si>
    <t>1500 Meter</t>
  </si>
  <si>
    <t>110 Meter Hurdles</t>
  </si>
  <si>
    <t>100 Meter Intermediate Boys hurdles</t>
  </si>
  <si>
    <t>80 Meter Junior Boys Hurdles</t>
  </si>
  <si>
    <t>FEMALE EVENTS</t>
  </si>
  <si>
    <t>800 Meter</t>
  </si>
  <si>
    <t>100 Meter Hurdles</t>
  </si>
  <si>
    <t>80 Meter Intermediate Girls hurdles</t>
  </si>
  <si>
    <t>Look up tables used as there is no formula</t>
  </si>
  <si>
    <t>75 Meter Junior Girls Hurdles</t>
  </si>
  <si>
    <t>High jump</t>
  </si>
  <si>
    <t>800m Intermediate Boys</t>
  </si>
  <si>
    <t>AAA Standard Grades 2007/2008</t>
  </si>
  <si>
    <t>U17M</t>
  </si>
  <si>
    <t>G1</t>
  </si>
  <si>
    <t>G2</t>
  </si>
  <si>
    <t>G3</t>
  </si>
  <si>
    <t>G4</t>
  </si>
  <si>
    <t>U17W</t>
  </si>
  <si>
    <t>400mH</t>
  </si>
  <si>
    <t>80mH</t>
  </si>
  <si>
    <t>300mH</t>
  </si>
  <si>
    <t>U15B</t>
  </si>
  <si>
    <t>U15G</t>
  </si>
  <si>
    <t>75mH</t>
  </si>
  <si>
    <t>Pentathlon*</t>
  </si>
  <si>
    <t>U13G</t>
  </si>
  <si>
    <t>U13B</t>
  </si>
  <si>
    <t>75m</t>
  </si>
  <si>
    <t>150m</t>
  </si>
  <si>
    <t>1200m</t>
  </si>
  <si>
    <t>Grade</t>
  </si>
  <si>
    <t>70m Hurdles</t>
  </si>
  <si>
    <t>Handforth W A A C</t>
  </si>
  <si>
    <t>TRIATHLON</t>
  </si>
  <si>
    <t>3rd July 2008</t>
  </si>
  <si>
    <t>Cloe Atkins</t>
  </si>
  <si>
    <t>Philippa Cooke</t>
  </si>
  <si>
    <t>James Clemetson</t>
  </si>
  <si>
    <t>Luke James</t>
  </si>
  <si>
    <t>Harry Sumner</t>
  </si>
  <si>
    <t>George Sumner</t>
  </si>
  <si>
    <t>Ewan McGerty</t>
  </si>
  <si>
    <t>Matthew Penney</t>
  </si>
  <si>
    <t>Thomas Rollason</t>
  </si>
  <si>
    <t>Jack Glass</t>
  </si>
  <si>
    <t>James Penney</t>
  </si>
  <si>
    <t>Rory Stobart</t>
  </si>
  <si>
    <t>Jacob Pantling</t>
  </si>
  <si>
    <t>Christopher Birch</t>
  </si>
  <si>
    <t xml:space="preserve">Handforth </t>
  </si>
  <si>
    <t>Matthew Robinson</t>
  </si>
  <si>
    <t>Kevin Acton</t>
  </si>
  <si>
    <t>Jamie Scobbie</t>
  </si>
  <si>
    <t>Harry Stobart</t>
  </si>
  <si>
    <t>Fergus Taylor</t>
  </si>
  <si>
    <t>Natasha Atkins</t>
  </si>
  <si>
    <t>Holly James</t>
  </si>
  <si>
    <t>Hannah Lederer</t>
  </si>
  <si>
    <t>Ellen Swarbrick</t>
  </si>
  <si>
    <t>Yana Camacho</t>
  </si>
  <si>
    <t>Maxine Dillon</t>
  </si>
  <si>
    <t>Hannah Cusworth</t>
  </si>
  <si>
    <t xml:space="preserve">Shot </t>
  </si>
  <si>
    <t>Imogen Taylor</t>
  </si>
  <si>
    <t>Katie Wharton</t>
  </si>
  <si>
    <t>Jack Sleath</t>
  </si>
  <si>
    <t>Mark Carey</t>
  </si>
  <si>
    <t>Ian Hare</t>
  </si>
  <si>
    <t>Lucy Rollason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</si>
</sst>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\.ss"/>
    <numFmt numFmtId="166" formatCode="m:ss.0"/>
    <numFmt numFmtId="167" formatCode="ss.0"/>
    <numFmt numFmtId="168" formatCode="0.000"/>
    <numFmt numFmtId="169" formatCode="[$-809]dd\ mmmm\ yyyy"/>
    <numFmt numFmtId="170" formatCode="dd/mm/yy;@"/>
    <numFmt numFmtId="171" formatCode="m.0"/>
    <numFmt numFmtId="172" formatCode="h:mm:ss;@"/>
    <numFmt numFmtId="173" formatCode="s"/>
    <numFmt numFmtId="174" formatCode="ss"/>
    <numFmt numFmtId="175" formatCode="[$-809]dd\ mmmm\ yyyy;@"/>
    <numFmt numFmtId="176" formatCode="m:ss.00"/>
    <numFmt numFmtId="177" formatCode="0.0000"/>
    <numFmt numFmtId="178" formatCode="0.00000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6"/>
      <color indexed="10"/>
      <name val="Arial"/>
      <family val="2"/>
    </font>
    <font>
      <b/>
      <sz val="10"/>
      <name val="Tahoma"/>
      <family val="2"/>
    </font>
    <font>
      <sz val="10"/>
      <color indexed="10"/>
      <name val="Tahoma"/>
      <family val="0"/>
    </font>
    <font>
      <sz val="10"/>
      <color indexed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5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top" wrapText="1"/>
    </xf>
    <xf numFmtId="2" fontId="1" fillId="35" borderId="15" xfId="0" applyNumberFormat="1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center" vertical="top"/>
      <protection locked="0"/>
    </xf>
    <xf numFmtId="0" fontId="1" fillId="33" borderId="16" xfId="0" applyFont="1" applyFill="1" applyBorder="1" applyAlignment="1" applyProtection="1">
      <alignment horizontal="center" vertical="top"/>
      <protection locked="0"/>
    </xf>
    <xf numFmtId="0" fontId="1" fillId="33" borderId="16" xfId="0" applyFont="1" applyFill="1" applyBorder="1" applyAlignment="1" applyProtection="1">
      <alignment horizontal="center" vertical="top" wrapText="1"/>
      <protection locked="0"/>
    </xf>
    <xf numFmtId="0" fontId="1" fillId="34" borderId="15" xfId="0" applyFont="1" applyFill="1" applyBorder="1" applyAlignment="1" applyProtection="1">
      <alignment horizontal="center" vertical="top"/>
      <protection locked="0"/>
    </xf>
    <xf numFmtId="0" fontId="1" fillId="34" borderId="18" xfId="0" applyFont="1" applyFill="1" applyBorder="1" applyAlignment="1" applyProtection="1">
      <alignment horizontal="center" vertical="top"/>
      <protection locked="0"/>
    </xf>
    <xf numFmtId="0" fontId="1" fillId="35" borderId="15" xfId="0" applyFont="1" applyFill="1" applyBorder="1" applyAlignment="1" applyProtection="1">
      <alignment horizontal="center" vertical="top" wrapText="1"/>
      <protection locked="0"/>
    </xf>
    <xf numFmtId="0" fontId="1" fillId="35" borderId="18" xfId="0" applyFont="1" applyFill="1" applyBorder="1" applyAlignment="1" applyProtection="1">
      <alignment horizontal="center" vertical="top"/>
      <protection locked="0"/>
    </xf>
    <xf numFmtId="2" fontId="1" fillId="35" borderId="15" xfId="0" applyNumberFormat="1" applyFont="1" applyFill="1" applyBorder="1" applyAlignment="1" applyProtection="1">
      <alignment horizontal="center" vertical="top"/>
      <protection locked="0"/>
    </xf>
    <xf numFmtId="0" fontId="1" fillId="33" borderId="15" xfId="0" applyFont="1" applyFill="1" applyBorder="1" applyAlignment="1" applyProtection="1">
      <alignment horizontal="center" vertical="top" wrapText="1"/>
      <protection locked="0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6" fontId="2" fillId="0" borderId="19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 quotePrefix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 quotePrefix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 vertical="top" wrapText="1"/>
      <protection locked="0"/>
    </xf>
    <xf numFmtId="0" fontId="1" fillId="33" borderId="2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1" fillId="34" borderId="15" xfId="0" applyNumberFormat="1" applyFont="1" applyFill="1" applyBorder="1" applyAlignment="1" applyProtection="1">
      <alignment horizontal="center" vertical="top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47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/>
    </xf>
    <xf numFmtId="166" fontId="2" fillId="0" borderId="11" xfId="0" applyNumberFormat="1" applyFont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 quotePrefix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 quotePrefix="1">
      <alignment horizontal="center"/>
      <protection/>
    </xf>
    <xf numFmtId="164" fontId="0" fillId="0" borderId="11" xfId="0" applyNumberFormat="1" applyBorder="1" applyAlignment="1" applyProtection="1">
      <alignment horizontal="center"/>
      <protection locked="0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 vertical="top"/>
      <protection/>
    </xf>
    <xf numFmtId="0" fontId="2" fillId="36" borderId="19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11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11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 vertical="top" wrapText="1"/>
      <protection/>
    </xf>
    <xf numFmtId="0" fontId="2" fillId="36" borderId="0" xfId="0" applyFont="1" applyFill="1" applyAlignment="1" applyProtection="1">
      <alignment/>
      <protection/>
    </xf>
    <xf numFmtId="2" fontId="2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3" fillId="0" borderId="0" xfId="0" applyNumberFormat="1" applyFont="1" applyAlignment="1">
      <alignment horizontal="center"/>
    </xf>
    <xf numFmtId="0" fontId="2" fillId="34" borderId="12" xfId="0" applyFont="1" applyFill="1" applyBorder="1" applyAlignment="1" quotePrefix="1">
      <alignment horizontal="center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 applyProtection="1">
      <alignment horizontal="right"/>
      <protection locked="0"/>
    </xf>
    <xf numFmtId="0" fontId="1" fillId="0" borderId="23" xfId="0" applyFont="1" applyBorder="1" applyAlignment="1">
      <alignment/>
    </xf>
    <xf numFmtId="1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27" xfId="0" applyFont="1" applyBorder="1" applyAlignment="1">
      <alignment/>
    </xf>
    <xf numFmtId="1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33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34" xfId="0" applyNumberFormat="1" applyBorder="1" applyAlignment="1">
      <alignment/>
    </xf>
    <xf numFmtId="0" fontId="0" fillId="37" borderId="29" xfId="0" applyFill="1" applyBorder="1" applyAlignment="1">
      <alignment/>
    </xf>
    <xf numFmtId="1" fontId="0" fillId="37" borderId="18" xfId="0" applyNumberFormat="1" applyFill="1" applyBorder="1" applyAlignment="1">
      <alignment/>
    </xf>
    <xf numFmtId="178" fontId="0" fillId="37" borderId="20" xfId="0" applyNumberFormat="1" applyFill="1" applyBorder="1" applyAlignment="1">
      <alignment/>
    </xf>
    <xf numFmtId="2" fontId="0" fillId="37" borderId="20" xfId="0" applyNumberFormat="1" applyFill="1" applyBorder="1" applyAlignment="1">
      <alignment/>
    </xf>
    <xf numFmtId="168" fontId="0" fillId="37" borderId="28" xfId="0" applyNumberFormat="1" applyFill="1" applyBorder="1" applyAlignment="1">
      <alignment/>
    </xf>
    <xf numFmtId="0" fontId="10" fillId="38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7" fontId="16" fillId="0" borderId="0" xfId="0" applyNumberFormat="1" applyFont="1" applyAlignment="1">
      <alignment/>
    </xf>
    <xf numFmtId="47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" fillId="34" borderId="0" xfId="0" applyFont="1" applyFill="1" applyBorder="1" applyAlignment="1" quotePrefix="1">
      <alignment horizontal="center"/>
    </xf>
    <xf numFmtId="0" fontId="1" fillId="34" borderId="16" xfId="0" applyFont="1" applyFill="1" applyBorder="1" applyAlignment="1" applyProtection="1">
      <alignment horizontal="center" vertical="top"/>
      <protection locked="0"/>
    </xf>
    <xf numFmtId="0" fontId="1" fillId="34" borderId="18" xfId="0" applyFont="1" applyFill="1" applyBorder="1" applyAlignment="1" applyProtection="1">
      <alignment horizontal="center" vertical="top" textRotation="90"/>
      <protection locked="0"/>
    </xf>
    <xf numFmtId="0" fontId="1" fillId="35" borderId="16" xfId="0" applyFont="1" applyFill="1" applyBorder="1" applyAlignment="1" applyProtection="1">
      <alignment horizontal="center" vertical="top"/>
      <protection locked="0"/>
    </xf>
    <xf numFmtId="0" fontId="2" fillId="35" borderId="0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 vertical="top" textRotation="90"/>
      <protection locked="0"/>
    </xf>
    <xf numFmtId="0" fontId="2" fillId="35" borderId="12" xfId="0" applyFont="1" applyFill="1" applyBorder="1" applyAlignment="1" quotePrefix="1">
      <alignment horizontal="center"/>
    </xf>
    <xf numFmtId="0" fontId="2" fillId="35" borderId="14" xfId="0" applyFont="1" applyFill="1" applyBorder="1" applyAlignment="1" quotePrefix="1">
      <alignment horizontal="center"/>
    </xf>
    <xf numFmtId="0" fontId="0" fillId="34" borderId="0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quotePrefix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" fillId="34" borderId="16" xfId="0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quotePrefix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6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 textRotation="90"/>
      <protection/>
    </xf>
    <xf numFmtId="0" fontId="0" fillId="36" borderId="0" xfId="0" applyFill="1" applyBorder="1" applyAlignment="1" applyProtection="1">
      <alignment horizontal="center" textRotation="90"/>
      <protection/>
    </xf>
    <xf numFmtId="0" fontId="0" fillId="36" borderId="13" xfId="0" applyFill="1" applyBorder="1" applyAlignment="1" applyProtection="1">
      <alignment horizontal="center" textRotation="90"/>
      <protection/>
    </xf>
    <xf numFmtId="0" fontId="0" fillId="36" borderId="22" xfId="0" applyFill="1" applyBorder="1" applyAlignment="1" applyProtection="1">
      <alignment horizontal="center" textRotation="90"/>
      <protection/>
    </xf>
    <xf numFmtId="0" fontId="0" fillId="36" borderId="12" xfId="0" applyFill="1" applyBorder="1" applyAlignment="1" applyProtection="1">
      <alignment horizontal="center" textRotation="90"/>
      <protection/>
    </xf>
    <xf numFmtId="0" fontId="0" fillId="36" borderId="14" xfId="0" applyFill="1" applyBorder="1" applyAlignment="1" applyProtection="1">
      <alignment horizontal="center" textRotation="90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9" borderId="0" xfId="0" applyFont="1" applyFill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 textRotation="90"/>
      <protection/>
    </xf>
    <xf numFmtId="0" fontId="0" fillId="36" borderId="10" xfId="0" applyFill="1" applyBorder="1" applyAlignment="1" applyProtection="1">
      <alignment horizontal="center" textRotation="90"/>
      <protection/>
    </xf>
    <xf numFmtId="0" fontId="0" fillId="36" borderId="11" xfId="0" applyFill="1" applyBorder="1" applyAlignment="1" applyProtection="1">
      <alignment horizontal="center" textRotation="90"/>
      <protection/>
    </xf>
    <xf numFmtId="0" fontId="10" fillId="40" borderId="0" xfId="0" applyFont="1" applyFill="1" applyAlignment="1" applyProtection="1">
      <alignment horizontal="center"/>
      <protection locked="0"/>
    </xf>
    <xf numFmtId="0" fontId="10" fillId="38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1304925</xdr:colOff>
      <xdr:row>9</xdr:row>
      <xdr:rowOff>142875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6207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K4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7109375" style="0" customWidth="1"/>
  </cols>
  <sheetData>
    <row r="1" ht="18">
      <c r="A1" s="126" t="s">
        <v>135</v>
      </c>
    </row>
    <row r="3" spans="1:11" ht="12.75">
      <c r="A3" t="s">
        <v>132</v>
      </c>
      <c r="B3" s="127" t="s">
        <v>211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t="s">
        <v>133</v>
      </c>
      <c r="B4" s="127" t="s">
        <v>210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ht="12.75">
      <c r="A5" t="s">
        <v>134</v>
      </c>
      <c r="B5" s="127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t="s">
        <v>87</v>
      </c>
      <c r="B6" s="128" t="s">
        <v>212</v>
      </c>
      <c r="C6" s="43"/>
      <c r="D6" s="43"/>
      <c r="E6" s="43"/>
      <c r="F6" s="43"/>
      <c r="G6" s="43"/>
      <c r="H6" s="43"/>
      <c r="I6" s="43"/>
      <c r="J6" s="43"/>
      <c r="K6" s="43"/>
    </row>
    <row r="8" ht="12.75">
      <c r="A8" s="129" t="s">
        <v>131</v>
      </c>
    </row>
    <row r="11" ht="12.75">
      <c r="A11" s="43" t="s">
        <v>73</v>
      </c>
    </row>
    <row r="12" ht="12.75">
      <c r="A12" s="43"/>
    </row>
    <row r="13" ht="12.75">
      <c r="A13" s="43"/>
    </row>
    <row r="14" ht="12.75">
      <c r="A14" s="43"/>
    </row>
    <row r="15" ht="12.75">
      <c r="A15" s="43"/>
    </row>
    <row r="16" ht="12.75">
      <c r="A16" s="43"/>
    </row>
    <row r="17" ht="12.75">
      <c r="A17" s="43"/>
    </row>
    <row r="18" ht="12.75">
      <c r="A18" s="43"/>
    </row>
    <row r="19" ht="12.75">
      <c r="A19" s="43"/>
    </row>
    <row r="20" ht="12.75">
      <c r="A20" s="43"/>
    </row>
    <row r="21" ht="12.75">
      <c r="A21" s="43"/>
    </row>
    <row r="22" ht="12.75">
      <c r="A22" s="43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130" t="s">
        <v>136</v>
      </c>
    </row>
    <row r="33" ht="12.75">
      <c r="A33" s="46"/>
    </row>
    <row r="34" ht="12.75">
      <c r="A34" s="46"/>
    </row>
    <row r="35" ht="12.75">
      <c r="A35" s="46"/>
    </row>
    <row r="36" ht="12.75">
      <c r="A36" s="46"/>
    </row>
    <row r="37" ht="12.75">
      <c r="A37" s="46"/>
    </row>
    <row r="38" ht="12.75">
      <c r="A38" s="46"/>
    </row>
    <row r="39" ht="12.75">
      <c r="A39" s="46"/>
    </row>
    <row r="40" ht="12.75">
      <c r="A40" s="46"/>
    </row>
  </sheetData>
  <sheetProtection/>
  <printOptions/>
  <pageMargins left="0.5511811023622047" right="0.5905511811023623" top="0.51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K51"/>
  <sheetViews>
    <sheetView zoomScalePageLayoutView="0" workbookViewId="0" topLeftCell="A7">
      <selection activeCell="B41" sqref="B41:E41"/>
    </sheetView>
  </sheetViews>
  <sheetFormatPr defaultColWidth="9.140625" defaultRowHeight="12.75"/>
  <sheetData>
    <row r="1" spans="1:11" ht="12.75">
      <c r="A1" s="199" t="s">
        <v>189</v>
      </c>
      <c r="G1" s="200"/>
      <c r="H1" s="200"/>
      <c r="I1" s="200"/>
      <c r="J1" s="200"/>
      <c r="K1" s="200"/>
    </row>
    <row r="2" spans="7:11" ht="12.75">
      <c r="G2" s="200"/>
      <c r="H2" s="200"/>
      <c r="I2" s="200"/>
      <c r="J2" s="200"/>
      <c r="K2" s="200"/>
    </row>
    <row r="3" spans="1:11" ht="12.75">
      <c r="A3" s="201" t="s">
        <v>190</v>
      </c>
      <c r="B3" s="201" t="s">
        <v>191</v>
      </c>
      <c r="C3" s="201" t="s">
        <v>192</v>
      </c>
      <c r="D3" s="201" t="s">
        <v>193</v>
      </c>
      <c r="E3" s="201" t="s">
        <v>194</v>
      </c>
      <c r="G3" s="200" t="s">
        <v>195</v>
      </c>
      <c r="H3" s="200" t="s">
        <v>191</v>
      </c>
      <c r="I3" s="200" t="s">
        <v>192</v>
      </c>
      <c r="J3" s="200" t="s">
        <v>193</v>
      </c>
      <c r="K3" s="200" t="s">
        <v>194</v>
      </c>
    </row>
    <row r="4" spans="1:11" ht="12.75">
      <c r="A4" s="201" t="s">
        <v>3</v>
      </c>
      <c r="B4" s="201">
        <v>11.2</v>
      </c>
      <c r="C4" s="201">
        <v>11.5</v>
      </c>
      <c r="D4" s="201">
        <v>11.8</v>
      </c>
      <c r="E4" s="201">
        <v>12.2</v>
      </c>
      <c r="G4" s="200" t="s">
        <v>3</v>
      </c>
      <c r="H4" s="200">
        <v>12.5</v>
      </c>
      <c r="I4" s="200">
        <v>12.8</v>
      </c>
      <c r="J4" s="200">
        <v>13.1</v>
      </c>
      <c r="K4" s="200">
        <v>13.5</v>
      </c>
    </row>
    <row r="5" spans="1:11" ht="12.75">
      <c r="A5" s="201" t="s">
        <v>13</v>
      </c>
      <c r="B5" s="201">
        <v>22.8</v>
      </c>
      <c r="C5" s="201">
        <v>23.5</v>
      </c>
      <c r="D5" s="201">
        <v>23.9</v>
      </c>
      <c r="E5" s="201">
        <v>24.9</v>
      </c>
      <c r="G5" s="200" t="s">
        <v>13</v>
      </c>
      <c r="H5" s="200">
        <v>25.7</v>
      </c>
      <c r="I5" s="200">
        <v>26.3</v>
      </c>
      <c r="J5" s="200">
        <v>26.9</v>
      </c>
      <c r="K5" s="200">
        <v>27.7</v>
      </c>
    </row>
    <row r="6" spans="1:11" ht="12.75">
      <c r="A6" s="201" t="s">
        <v>15</v>
      </c>
      <c r="B6" s="201">
        <v>51.4</v>
      </c>
      <c r="C6" s="201">
        <v>53.1</v>
      </c>
      <c r="D6" s="201">
        <v>54.3</v>
      </c>
      <c r="E6" s="201">
        <v>56.7</v>
      </c>
      <c r="G6" s="200" t="s">
        <v>14</v>
      </c>
      <c r="H6" s="200">
        <v>41.5</v>
      </c>
      <c r="I6" s="200">
        <v>42.7</v>
      </c>
      <c r="J6" s="200">
        <v>44</v>
      </c>
      <c r="K6" s="200">
        <v>46.1</v>
      </c>
    </row>
    <row r="7" spans="1:11" ht="12.75">
      <c r="A7" s="201" t="s">
        <v>4</v>
      </c>
      <c r="B7" s="202">
        <v>0.001371527777777778</v>
      </c>
      <c r="C7" s="202">
        <v>0.00140625</v>
      </c>
      <c r="D7" s="202">
        <v>0.0014525462962962964</v>
      </c>
      <c r="E7" s="202">
        <v>0.0015127314814814814</v>
      </c>
      <c r="G7" s="200" t="s">
        <v>15</v>
      </c>
      <c r="H7" s="200">
        <v>57.2</v>
      </c>
      <c r="I7" s="200">
        <v>58.6</v>
      </c>
      <c r="J7" s="200">
        <v>59.3</v>
      </c>
      <c r="K7" s="200">
        <v>60.8</v>
      </c>
    </row>
    <row r="8" spans="1:11" ht="12.75">
      <c r="A8" s="201" t="s">
        <v>16</v>
      </c>
      <c r="B8" s="202">
        <v>0.002870370370370371</v>
      </c>
      <c r="C8" s="202">
        <v>0.0029803240740740745</v>
      </c>
      <c r="D8" s="202">
        <v>0.0030671296296296297</v>
      </c>
      <c r="E8" s="202">
        <v>0.003211805555555556</v>
      </c>
      <c r="G8" s="200" t="s">
        <v>4</v>
      </c>
      <c r="H8" s="203">
        <v>0.001579861111111111</v>
      </c>
      <c r="I8" s="203">
        <v>0.0016377314814814815</v>
      </c>
      <c r="J8" s="203">
        <v>0.001689814814814815</v>
      </c>
      <c r="K8" s="203">
        <v>0.001765046296296296</v>
      </c>
    </row>
    <row r="9" spans="1:11" ht="12.75">
      <c r="A9" s="204" t="s">
        <v>17</v>
      </c>
      <c r="B9" s="202">
        <v>0.006221064814814815</v>
      </c>
      <c r="C9" s="202">
        <v>0.006481481481481481</v>
      </c>
      <c r="D9" s="202">
        <v>0.006689814814814814</v>
      </c>
      <c r="E9" s="202">
        <v>0.007060185185185184</v>
      </c>
      <c r="G9" s="200" t="s">
        <v>16</v>
      </c>
      <c r="H9" s="203">
        <v>0.00328125</v>
      </c>
      <c r="I9" s="203">
        <v>0.003420138888888889</v>
      </c>
      <c r="J9" s="203">
        <v>0.0035243055555555553</v>
      </c>
      <c r="K9" s="203">
        <v>0.0037094907407407406</v>
      </c>
    </row>
    <row r="10" spans="1:11" ht="12.75">
      <c r="A10" s="201" t="s">
        <v>113</v>
      </c>
      <c r="B10" s="201">
        <v>13.7</v>
      </c>
      <c r="C10" s="201">
        <v>14.3</v>
      </c>
      <c r="D10" s="201">
        <v>14.9</v>
      </c>
      <c r="E10" s="205">
        <v>16</v>
      </c>
      <c r="G10" s="200" t="s">
        <v>17</v>
      </c>
      <c r="H10" s="203">
        <v>0.007146990740740741</v>
      </c>
      <c r="I10" s="203">
        <v>0.007459490740740741</v>
      </c>
      <c r="J10" s="203">
        <v>0.0077314814814814815</v>
      </c>
      <c r="K10" s="203">
        <v>0.008275462962962962</v>
      </c>
    </row>
    <row r="11" spans="1:11" ht="12.75">
      <c r="A11" s="201" t="s">
        <v>196</v>
      </c>
      <c r="B11" s="201">
        <v>57.1</v>
      </c>
      <c r="C11" s="201">
        <v>59.5</v>
      </c>
      <c r="D11" s="201">
        <v>61.6</v>
      </c>
      <c r="E11" s="201">
        <v>64.7</v>
      </c>
      <c r="G11" s="200" t="s">
        <v>197</v>
      </c>
      <c r="H11" s="200">
        <v>11.9</v>
      </c>
      <c r="I11" s="200">
        <v>12.3</v>
      </c>
      <c r="J11" s="200">
        <v>12.8</v>
      </c>
      <c r="K11" s="200">
        <v>13.7</v>
      </c>
    </row>
    <row r="12" spans="1:11" ht="12.75">
      <c r="A12" s="201" t="s">
        <v>18</v>
      </c>
      <c r="B12" s="201">
        <v>1.9</v>
      </c>
      <c r="C12" s="201">
        <v>1.8</v>
      </c>
      <c r="D12" s="201">
        <v>1.7</v>
      </c>
      <c r="E12" s="201">
        <v>1.6</v>
      </c>
      <c r="G12" s="200" t="s">
        <v>198</v>
      </c>
      <c r="H12" s="200">
        <v>45.5</v>
      </c>
      <c r="I12" s="200">
        <v>47.1</v>
      </c>
      <c r="J12" s="200">
        <v>49</v>
      </c>
      <c r="K12" s="200">
        <v>51.9</v>
      </c>
    </row>
    <row r="13" spans="1:11" ht="12.75">
      <c r="A13" s="201" t="s">
        <v>19</v>
      </c>
      <c r="B13" s="201">
        <v>6.2</v>
      </c>
      <c r="C13" s="201">
        <v>5.85</v>
      </c>
      <c r="D13" s="201">
        <v>5.55</v>
      </c>
      <c r="E13" s="201">
        <v>5.15</v>
      </c>
      <c r="G13" s="200" t="s">
        <v>18</v>
      </c>
      <c r="H13" s="200">
        <v>1.65</v>
      </c>
      <c r="I13" s="200">
        <v>1.59</v>
      </c>
      <c r="J13" s="200">
        <v>1.54</v>
      </c>
      <c r="K13" s="200">
        <v>1.45</v>
      </c>
    </row>
    <row r="14" spans="1:11" ht="12.75">
      <c r="A14" s="201" t="s">
        <v>20</v>
      </c>
      <c r="B14" s="201">
        <v>12.85</v>
      </c>
      <c r="C14" s="201">
        <v>12.25</v>
      </c>
      <c r="D14" s="201">
        <v>11.75</v>
      </c>
      <c r="E14" s="201">
        <v>10.8</v>
      </c>
      <c r="G14" s="200" t="s">
        <v>19</v>
      </c>
      <c r="H14" s="200">
        <v>5.25</v>
      </c>
      <c r="I14" s="200">
        <v>4.95</v>
      </c>
      <c r="J14" s="200">
        <v>4.7</v>
      </c>
      <c r="K14" s="200">
        <v>4.4</v>
      </c>
    </row>
    <row r="15" spans="1:11" ht="12.75">
      <c r="A15" s="201" t="s">
        <v>21</v>
      </c>
      <c r="B15" s="201">
        <v>4.2</v>
      </c>
      <c r="C15" s="201">
        <v>3.7</v>
      </c>
      <c r="D15" s="201">
        <v>3.2</v>
      </c>
      <c r="E15" s="201">
        <v>2.65</v>
      </c>
      <c r="G15" s="200" t="s">
        <v>20</v>
      </c>
      <c r="H15" s="200">
        <v>11.05</v>
      </c>
      <c r="I15" s="200">
        <v>10.5</v>
      </c>
      <c r="J15" s="200">
        <v>9.9</v>
      </c>
      <c r="K15" s="200">
        <v>9.1</v>
      </c>
    </row>
    <row r="16" spans="1:11" ht="12.75">
      <c r="A16" s="201" t="s">
        <v>24</v>
      </c>
      <c r="B16" s="201">
        <v>51.4</v>
      </c>
      <c r="C16" s="201">
        <v>44.5</v>
      </c>
      <c r="D16" s="201">
        <v>39</v>
      </c>
      <c r="E16" s="201">
        <v>31.55</v>
      </c>
      <c r="G16" s="200" t="s">
        <v>21</v>
      </c>
      <c r="H16" s="200">
        <v>3.45</v>
      </c>
      <c r="I16" s="200">
        <v>3.1</v>
      </c>
      <c r="J16" s="200">
        <v>2.7</v>
      </c>
      <c r="K16" s="200">
        <v>2.3</v>
      </c>
    </row>
    <row r="17" spans="1:11" ht="12.75">
      <c r="A17" s="201" t="s">
        <v>23</v>
      </c>
      <c r="B17" s="201">
        <v>41.85</v>
      </c>
      <c r="C17" s="201">
        <v>34.6</v>
      </c>
      <c r="D17" s="201">
        <v>29.9</v>
      </c>
      <c r="E17" s="201">
        <v>22.9</v>
      </c>
      <c r="G17" s="200" t="s">
        <v>24</v>
      </c>
      <c r="H17" s="200">
        <v>34</v>
      </c>
      <c r="I17" s="200">
        <v>28.6</v>
      </c>
      <c r="J17" s="200">
        <v>25.1</v>
      </c>
      <c r="K17" s="200">
        <v>20.3</v>
      </c>
    </row>
    <row r="18" spans="1:11" ht="12.75">
      <c r="A18" s="201" t="s">
        <v>25</v>
      </c>
      <c r="B18" s="201">
        <v>52.85</v>
      </c>
      <c r="C18" s="201">
        <v>46</v>
      </c>
      <c r="D18" s="201">
        <v>34.25</v>
      </c>
      <c r="E18" s="201">
        <v>24.3</v>
      </c>
      <c r="G18" s="200" t="s">
        <v>23</v>
      </c>
      <c r="H18" s="200">
        <v>30.2</v>
      </c>
      <c r="I18" s="200">
        <v>25.6</v>
      </c>
      <c r="J18" s="200">
        <v>22.25</v>
      </c>
      <c r="K18" s="200">
        <v>18.5</v>
      </c>
    </row>
    <row r="19" spans="1:11" ht="12.75">
      <c r="A19" s="201" t="s">
        <v>22</v>
      </c>
      <c r="B19" s="205">
        <v>14</v>
      </c>
      <c r="C19" s="205">
        <v>12.3</v>
      </c>
      <c r="D19" s="205">
        <v>11.25</v>
      </c>
      <c r="E19" s="205">
        <v>9.5</v>
      </c>
      <c r="G19" s="200" t="s">
        <v>25</v>
      </c>
      <c r="H19" s="200">
        <v>41.35</v>
      </c>
      <c r="I19" s="200">
        <v>32.75</v>
      </c>
      <c r="J19" s="200">
        <v>25.75</v>
      </c>
      <c r="K19" s="200">
        <v>19</v>
      </c>
    </row>
    <row r="20" spans="1:11" ht="12.75">
      <c r="A20" s="201"/>
      <c r="B20" s="201"/>
      <c r="C20" s="201"/>
      <c r="D20" s="201"/>
      <c r="E20" s="201"/>
      <c r="G20" s="200" t="s">
        <v>22</v>
      </c>
      <c r="H20" s="200">
        <v>10.15</v>
      </c>
      <c r="I20" s="200">
        <v>8.75</v>
      </c>
      <c r="J20" s="200">
        <v>7.85</v>
      </c>
      <c r="K20" s="200">
        <v>6.65</v>
      </c>
    </row>
    <row r="21" spans="1:11" ht="12.75">
      <c r="A21" s="201" t="s">
        <v>199</v>
      </c>
      <c r="B21" s="201" t="s">
        <v>191</v>
      </c>
      <c r="C21" s="201" t="s">
        <v>192</v>
      </c>
      <c r="D21" s="201" t="s">
        <v>193</v>
      </c>
      <c r="E21" s="201" t="s">
        <v>194</v>
      </c>
      <c r="G21" s="200"/>
      <c r="H21" s="200"/>
      <c r="I21" s="200"/>
      <c r="J21" s="200"/>
      <c r="K21" s="200"/>
    </row>
    <row r="22" spans="1:11" ht="12.75">
      <c r="A22" s="201" t="s">
        <v>3</v>
      </c>
      <c r="B22" s="201">
        <v>11.8</v>
      </c>
      <c r="C22" s="201">
        <v>12.1</v>
      </c>
      <c r="D22" s="201">
        <v>12.5</v>
      </c>
      <c r="E22" s="201">
        <v>13.1</v>
      </c>
      <c r="G22" s="200" t="s">
        <v>200</v>
      </c>
      <c r="H22" s="200" t="s">
        <v>191</v>
      </c>
      <c r="I22" s="200" t="s">
        <v>192</v>
      </c>
      <c r="J22" s="200" t="s">
        <v>193</v>
      </c>
      <c r="K22" s="200" t="s">
        <v>194</v>
      </c>
    </row>
    <row r="23" spans="1:11" ht="12.75">
      <c r="A23" s="201" t="s">
        <v>13</v>
      </c>
      <c r="B23" s="201">
        <v>24.1</v>
      </c>
      <c r="C23" s="201">
        <v>24.8</v>
      </c>
      <c r="D23" s="201">
        <v>25.6</v>
      </c>
      <c r="E23" s="205">
        <v>27</v>
      </c>
      <c r="G23" s="200" t="s">
        <v>3</v>
      </c>
      <c r="H23" s="200">
        <v>12.8</v>
      </c>
      <c r="I23" s="200">
        <v>13.2</v>
      </c>
      <c r="J23" s="200">
        <v>13.5</v>
      </c>
      <c r="K23" s="200">
        <v>14</v>
      </c>
    </row>
    <row r="24" spans="1:11" ht="12.75">
      <c r="A24" s="201" t="s">
        <v>15</v>
      </c>
      <c r="B24" s="201">
        <v>54.4</v>
      </c>
      <c r="C24" s="201">
        <v>56.1</v>
      </c>
      <c r="D24" s="201">
        <v>57.9</v>
      </c>
      <c r="E24" s="201">
        <v>61.6</v>
      </c>
      <c r="G24" s="200" t="s">
        <v>13</v>
      </c>
      <c r="H24" s="200">
        <v>26.6</v>
      </c>
      <c r="I24" s="200">
        <v>27.2</v>
      </c>
      <c r="J24" s="200">
        <v>27.9</v>
      </c>
      <c r="K24" s="200">
        <v>28.9</v>
      </c>
    </row>
    <row r="25" spans="1:11" ht="12.75">
      <c r="A25" s="201" t="s">
        <v>4</v>
      </c>
      <c r="B25" s="202">
        <v>0.0014756944444444444</v>
      </c>
      <c r="C25" s="202">
        <v>0.0015277777777777779</v>
      </c>
      <c r="D25" s="202">
        <v>0.001574074074074074</v>
      </c>
      <c r="E25" s="202">
        <v>0.0016608796296296296</v>
      </c>
      <c r="G25" s="200" t="s">
        <v>14</v>
      </c>
      <c r="H25" s="200">
        <v>42</v>
      </c>
      <c r="I25" s="200">
        <v>43.3</v>
      </c>
      <c r="J25" s="200">
        <v>45</v>
      </c>
      <c r="K25" s="200">
        <v>47</v>
      </c>
    </row>
    <row r="26" spans="1:11" ht="12.75">
      <c r="A26" s="201" t="s">
        <v>16</v>
      </c>
      <c r="B26" s="202">
        <v>0.003096064814814815</v>
      </c>
      <c r="C26" s="202">
        <v>0.0032002314814814814</v>
      </c>
      <c r="D26" s="202">
        <v>0.0032870370370370367</v>
      </c>
      <c r="E26" s="202">
        <v>0.0034606481481481485</v>
      </c>
      <c r="G26" s="200" t="s">
        <v>4</v>
      </c>
      <c r="H26" s="203">
        <v>0.0016319444444444445</v>
      </c>
      <c r="I26" s="203">
        <v>0.0016956018518518518</v>
      </c>
      <c r="J26" s="203">
        <v>0.0017476851851851852</v>
      </c>
      <c r="K26" s="203">
        <v>0.0018344907407407407</v>
      </c>
    </row>
    <row r="27" spans="1:11" ht="12.75">
      <c r="A27" s="204" t="s">
        <v>17</v>
      </c>
      <c r="B27" s="202">
        <v>0.006550925925925926</v>
      </c>
      <c r="C27" s="202">
        <v>0.0067476851851851856</v>
      </c>
      <c r="D27" s="202">
        <v>0.006898148148148149</v>
      </c>
      <c r="E27" s="202">
        <v>0.007233796296296296</v>
      </c>
      <c r="G27" s="200" t="s">
        <v>16</v>
      </c>
      <c r="H27" s="203">
        <v>0.00337962962962963</v>
      </c>
      <c r="I27" s="203">
        <v>0.0035185185185185185</v>
      </c>
      <c r="J27" s="203">
        <v>0.0036400462962962957</v>
      </c>
      <c r="K27" s="203">
        <v>0.003859953703703704</v>
      </c>
    </row>
    <row r="28" spans="1:11" ht="12.75">
      <c r="A28" s="201" t="s">
        <v>197</v>
      </c>
      <c r="B28" s="201">
        <v>12</v>
      </c>
      <c r="C28" s="201">
        <v>12.5</v>
      </c>
      <c r="D28" s="201">
        <v>13.3</v>
      </c>
      <c r="E28" s="201">
        <v>14.4</v>
      </c>
      <c r="G28" s="200" t="s">
        <v>17</v>
      </c>
      <c r="H28" s="203">
        <v>0.007262731481481482</v>
      </c>
      <c r="I28" s="203">
        <v>0.007361111111111111</v>
      </c>
      <c r="J28" s="203">
        <v>0.007581018518518518</v>
      </c>
      <c r="K28" s="203">
        <v>0.008101851851851851</v>
      </c>
    </row>
    <row r="29" spans="1:11" ht="12.75">
      <c r="A29" s="201" t="s">
        <v>18</v>
      </c>
      <c r="B29" s="201">
        <v>1.72</v>
      </c>
      <c r="C29" s="201">
        <v>1.62</v>
      </c>
      <c r="D29" s="201">
        <v>1.55</v>
      </c>
      <c r="E29" s="201">
        <v>1.45</v>
      </c>
      <c r="G29" s="200" t="s">
        <v>201</v>
      </c>
      <c r="H29" s="200">
        <v>12</v>
      </c>
      <c r="I29" s="200">
        <v>12.5</v>
      </c>
      <c r="J29" s="200">
        <v>13</v>
      </c>
      <c r="K29" s="200">
        <v>14.3</v>
      </c>
    </row>
    <row r="30" spans="1:11" ht="12.75">
      <c r="A30" s="201" t="s">
        <v>19</v>
      </c>
      <c r="B30" s="201">
        <v>5.75</v>
      </c>
      <c r="C30" s="201">
        <v>5.35</v>
      </c>
      <c r="D30" s="201">
        <v>5.1</v>
      </c>
      <c r="E30" s="201">
        <v>4.7</v>
      </c>
      <c r="G30" s="200" t="s">
        <v>18</v>
      </c>
      <c r="H30" s="200">
        <v>1.6</v>
      </c>
      <c r="I30" s="200">
        <v>1.5</v>
      </c>
      <c r="J30" s="200">
        <v>1.45</v>
      </c>
      <c r="K30" s="200">
        <v>1.36</v>
      </c>
    </row>
    <row r="31" spans="1:11" ht="12.75">
      <c r="A31" s="201" t="s">
        <v>20</v>
      </c>
      <c r="B31" s="201">
        <v>12.35</v>
      </c>
      <c r="C31" s="201">
        <v>11.8</v>
      </c>
      <c r="D31" s="201">
        <v>11.2</v>
      </c>
      <c r="E31" s="201">
        <v>10.2</v>
      </c>
      <c r="G31" s="200" t="s">
        <v>19</v>
      </c>
      <c r="H31" s="200">
        <v>5</v>
      </c>
      <c r="I31" s="200">
        <v>4.65</v>
      </c>
      <c r="J31" s="200">
        <v>4.45</v>
      </c>
      <c r="K31" s="200">
        <v>4.15</v>
      </c>
    </row>
    <row r="32" spans="1:11" ht="12.75">
      <c r="A32" s="201" t="s">
        <v>21</v>
      </c>
      <c r="B32" s="201">
        <v>3.3</v>
      </c>
      <c r="C32" s="201">
        <v>2.9</v>
      </c>
      <c r="D32" s="201">
        <v>2.7</v>
      </c>
      <c r="E32" s="201">
        <v>2.2</v>
      </c>
      <c r="G32" s="200" t="s">
        <v>20</v>
      </c>
      <c r="H32" s="200">
        <v>3.05</v>
      </c>
      <c r="I32" s="200">
        <v>2.8</v>
      </c>
      <c r="J32" s="200">
        <v>2.5</v>
      </c>
      <c r="K32" s="200">
        <v>2.2</v>
      </c>
    </row>
    <row r="33" spans="1:11" ht="12.75">
      <c r="A33" s="201" t="s">
        <v>24</v>
      </c>
      <c r="B33" s="201">
        <v>42.5</v>
      </c>
      <c r="C33" s="201">
        <v>37.65</v>
      </c>
      <c r="D33" s="201">
        <v>33.35</v>
      </c>
      <c r="E33" s="201">
        <v>26.55</v>
      </c>
      <c r="G33" s="200" t="s">
        <v>21</v>
      </c>
      <c r="H33" s="200">
        <v>28.7</v>
      </c>
      <c r="I33" s="200">
        <v>24.25</v>
      </c>
      <c r="J33" s="200">
        <v>20.5</v>
      </c>
      <c r="K33" s="200">
        <v>16.1</v>
      </c>
    </row>
    <row r="34" spans="1:11" ht="12.75">
      <c r="A34" s="201" t="s">
        <v>23</v>
      </c>
      <c r="B34" s="201">
        <v>35.55</v>
      </c>
      <c r="C34" s="201">
        <v>30.15</v>
      </c>
      <c r="D34" s="201">
        <v>25.5</v>
      </c>
      <c r="E34" s="201">
        <v>19.9</v>
      </c>
      <c r="G34" s="200" t="s">
        <v>23</v>
      </c>
      <c r="H34" s="200">
        <v>25.7</v>
      </c>
      <c r="I34" s="200">
        <v>21.85</v>
      </c>
      <c r="J34" s="200">
        <v>19.15</v>
      </c>
      <c r="K34" s="200">
        <v>15.15</v>
      </c>
    </row>
    <row r="35" spans="1:11" ht="12.75">
      <c r="A35" s="201" t="s">
        <v>25</v>
      </c>
      <c r="B35" s="201">
        <v>45</v>
      </c>
      <c r="C35" s="201">
        <v>36.25</v>
      </c>
      <c r="D35" s="201">
        <v>28</v>
      </c>
      <c r="E35" s="201">
        <v>20.5</v>
      </c>
      <c r="G35" s="200" t="s">
        <v>25</v>
      </c>
      <c r="H35" s="200">
        <v>41.25</v>
      </c>
      <c r="I35" s="200">
        <v>33.5</v>
      </c>
      <c r="J35" s="200">
        <v>28.75</v>
      </c>
      <c r="K35" s="200">
        <v>21.1</v>
      </c>
    </row>
    <row r="36" spans="1:11" ht="12.75">
      <c r="A36" s="201" t="s">
        <v>22</v>
      </c>
      <c r="B36" s="201">
        <v>12.75</v>
      </c>
      <c r="C36" s="201">
        <v>11.5</v>
      </c>
      <c r="D36" s="201">
        <v>10.55</v>
      </c>
      <c r="E36" s="201">
        <v>8.9</v>
      </c>
      <c r="G36" s="200" t="s">
        <v>22</v>
      </c>
      <c r="H36" s="200">
        <v>9.45</v>
      </c>
      <c r="I36" s="200">
        <v>8.35</v>
      </c>
      <c r="J36" s="200">
        <v>7.65</v>
      </c>
      <c r="K36" s="200">
        <v>6.45</v>
      </c>
    </row>
    <row r="37" spans="1:11" ht="12.75">
      <c r="A37" s="201" t="s">
        <v>202</v>
      </c>
      <c r="B37" s="201">
        <v>2625</v>
      </c>
      <c r="C37" s="201">
        <v>2300</v>
      </c>
      <c r="D37" s="201">
        <v>2000</v>
      </c>
      <c r="E37" s="201">
        <v>1600</v>
      </c>
      <c r="G37" s="200"/>
      <c r="H37" s="200"/>
      <c r="I37" s="200"/>
      <c r="J37" s="200"/>
      <c r="K37" s="200"/>
    </row>
    <row r="38" spans="1:11" ht="12.75">
      <c r="A38" s="201"/>
      <c r="B38" s="201"/>
      <c r="C38" s="201"/>
      <c r="D38" s="201"/>
      <c r="E38" s="201"/>
      <c r="G38" s="200" t="s">
        <v>203</v>
      </c>
      <c r="H38" s="200" t="s">
        <v>191</v>
      </c>
      <c r="I38" s="200" t="s">
        <v>192</v>
      </c>
      <c r="J38" s="200" t="s">
        <v>193</v>
      </c>
      <c r="K38" s="200" t="s">
        <v>194</v>
      </c>
    </row>
    <row r="39" spans="1:11" ht="12.75">
      <c r="A39" s="201" t="s">
        <v>204</v>
      </c>
      <c r="B39" s="201" t="s">
        <v>191</v>
      </c>
      <c r="C39" s="201" t="s">
        <v>192</v>
      </c>
      <c r="D39" s="201" t="s">
        <v>193</v>
      </c>
      <c r="E39" s="201" t="s">
        <v>194</v>
      </c>
      <c r="G39" s="200" t="s">
        <v>205</v>
      </c>
      <c r="H39" s="200">
        <v>10.4</v>
      </c>
      <c r="I39" s="200">
        <v>10.7</v>
      </c>
      <c r="J39" s="200">
        <v>11</v>
      </c>
      <c r="K39" s="200">
        <v>11.6</v>
      </c>
    </row>
    <row r="40" spans="1:11" ht="12.75">
      <c r="A40" s="201" t="s">
        <v>205</v>
      </c>
      <c r="B40" s="201">
        <v>9.9</v>
      </c>
      <c r="C40" s="201">
        <v>10.2</v>
      </c>
      <c r="D40" s="201">
        <v>10.5</v>
      </c>
      <c r="E40" s="201">
        <v>11</v>
      </c>
      <c r="G40" s="200" t="s">
        <v>3</v>
      </c>
      <c r="H40" s="200">
        <v>13.5</v>
      </c>
      <c r="I40" s="200">
        <v>14</v>
      </c>
      <c r="J40" s="200">
        <v>14.4</v>
      </c>
      <c r="K40" s="200">
        <v>15.2</v>
      </c>
    </row>
    <row r="41" spans="1:11" ht="12.75">
      <c r="A41" s="201" t="s">
        <v>3</v>
      </c>
      <c r="B41" s="201">
        <v>13</v>
      </c>
      <c r="C41" s="201">
        <v>13.5</v>
      </c>
      <c r="D41" s="201">
        <v>13.9</v>
      </c>
      <c r="E41" s="201">
        <v>14.6</v>
      </c>
      <c r="G41" s="200" t="s">
        <v>206</v>
      </c>
      <c r="H41" s="200">
        <v>20.5</v>
      </c>
      <c r="I41" s="200">
        <v>21.2</v>
      </c>
      <c r="J41" s="200">
        <v>21.8</v>
      </c>
      <c r="K41" s="200">
        <v>23</v>
      </c>
    </row>
    <row r="42" spans="1:11" ht="12.75">
      <c r="A42" s="201" t="s">
        <v>206</v>
      </c>
      <c r="B42" s="201">
        <v>20.2</v>
      </c>
      <c r="C42" s="201">
        <v>20.9</v>
      </c>
      <c r="D42" s="201">
        <v>21.8</v>
      </c>
      <c r="E42" s="201">
        <v>22.9</v>
      </c>
      <c r="G42" s="200" t="s">
        <v>13</v>
      </c>
      <c r="H42" s="200">
        <v>28</v>
      </c>
      <c r="I42" s="200">
        <v>29.1</v>
      </c>
      <c r="J42" s="200">
        <v>30.2</v>
      </c>
      <c r="K42" s="200">
        <v>31.9</v>
      </c>
    </row>
    <row r="43" spans="1:11" ht="12.75">
      <c r="A43" s="201" t="s">
        <v>13</v>
      </c>
      <c r="B43" s="201">
        <v>27</v>
      </c>
      <c r="C43" s="201">
        <v>27.9</v>
      </c>
      <c r="D43" s="201">
        <v>29</v>
      </c>
      <c r="E43" s="201">
        <v>30.5</v>
      </c>
      <c r="G43" s="200" t="s">
        <v>4</v>
      </c>
      <c r="H43" s="203">
        <v>0.001736111111111111</v>
      </c>
      <c r="I43" s="203">
        <v>0.0018113425925925927</v>
      </c>
      <c r="J43" s="203">
        <v>0.001875</v>
      </c>
      <c r="K43" s="203">
        <v>0.0019733796296296296</v>
      </c>
    </row>
    <row r="44" spans="1:11" ht="12.75">
      <c r="A44" s="201" t="s">
        <v>4</v>
      </c>
      <c r="B44" s="202">
        <v>0.0016550925925925926</v>
      </c>
      <c r="C44" s="202">
        <v>0.001712962962962963</v>
      </c>
      <c r="D44" s="202">
        <v>0.0017708333333333332</v>
      </c>
      <c r="E44" s="202">
        <v>0.0018634259259259261</v>
      </c>
      <c r="G44" s="200" t="s">
        <v>207</v>
      </c>
      <c r="H44" s="203">
        <v>0.002824074074074074</v>
      </c>
      <c r="I44" s="203">
        <v>0.0029108796296296296</v>
      </c>
      <c r="J44" s="203">
        <v>0.0030150462962962965</v>
      </c>
      <c r="K44" s="203">
        <v>0.003194444444444444</v>
      </c>
    </row>
    <row r="45" spans="1:11" ht="12.75">
      <c r="A45" s="201" t="s">
        <v>16</v>
      </c>
      <c r="B45" s="202">
        <v>0.0033738425925925928</v>
      </c>
      <c r="C45" s="202">
        <v>0.003483796296296296</v>
      </c>
      <c r="D45" s="202">
        <v>0.0035763888888888894</v>
      </c>
      <c r="E45" s="202">
        <v>0.003761574074074074</v>
      </c>
      <c r="G45" s="200" t="s">
        <v>16</v>
      </c>
      <c r="H45" s="203">
        <v>0.0035243055555555553</v>
      </c>
      <c r="I45" s="203">
        <v>0.003697916666666667</v>
      </c>
      <c r="J45" s="203">
        <v>0.0038368055555555555</v>
      </c>
      <c r="K45" s="203">
        <v>0.004045138888888889</v>
      </c>
    </row>
    <row r="46" spans="1:11" ht="12.75">
      <c r="A46" s="201" t="s">
        <v>201</v>
      </c>
      <c r="B46" s="201">
        <v>13.2</v>
      </c>
      <c r="C46" s="201">
        <v>13.9</v>
      </c>
      <c r="D46" s="201">
        <v>14.9</v>
      </c>
      <c r="E46" s="201">
        <v>16</v>
      </c>
      <c r="G46" s="200" t="s">
        <v>209</v>
      </c>
      <c r="H46" s="200">
        <v>12</v>
      </c>
      <c r="I46" s="200">
        <v>12.7</v>
      </c>
      <c r="J46" s="200">
        <v>13.2</v>
      </c>
      <c r="K46" s="200">
        <v>14.6</v>
      </c>
    </row>
    <row r="47" spans="1:11" ht="12.75">
      <c r="A47" s="201" t="s">
        <v>18</v>
      </c>
      <c r="B47" s="201">
        <v>1.47</v>
      </c>
      <c r="C47" s="201">
        <v>1.36</v>
      </c>
      <c r="D47" s="201">
        <v>1.3</v>
      </c>
      <c r="E47" s="201">
        <v>1.2</v>
      </c>
      <c r="G47" s="200" t="s">
        <v>18</v>
      </c>
      <c r="H47" s="200">
        <v>1.4</v>
      </c>
      <c r="I47" s="200">
        <v>1.33</v>
      </c>
      <c r="J47" s="200">
        <v>1.25</v>
      </c>
      <c r="K47" s="200">
        <v>1.18</v>
      </c>
    </row>
    <row r="48" spans="1:11" ht="12.75">
      <c r="A48" s="201" t="s">
        <v>19</v>
      </c>
      <c r="B48" s="201">
        <v>4.65</v>
      </c>
      <c r="C48" s="201">
        <v>4.35</v>
      </c>
      <c r="D48" s="201">
        <v>4.1</v>
      </c>
      <c r="E48" s="201">
        <v>3.75</v>
      </c>
      <c r="G48" s="200" t="s">
        <v>19</v>
      </c>
      <c r="H48" s="200">
        <v>4.35</v>
      </c>
      <c r="I48" s="200">
        <v>4.1</v>
      </c>
      <c r="J48" s="200">
        <v>3.9</v>
      </c>
      <c r="K48" s="200">
        <v>3.55</v>
      </c>
    </row>
    <row r="49" spans="1:11" ht="12.75">
      <c r="A49" s="201" t="s">
        <v>24</v>
      </c>
      <c r="B49" s="201">
        <v>32.7</v>
      </c>
      <c r="C49" s="201">
        <v>28</v>
      </c>
      <c r="D49" s="201">
        <v>23.5</v>
      </c>
      <c r="E49" s="201">
        <v>17.65</v>
      </c>
      <c r="G49" s="200" t="s">
        <v>24</v>
      </c>
      <c r="H49" s="200">
        <v>25</v>
      </c>
      <c r="I49" s="200">
        <v>21.1</v>
      </c>
      <c r="J49" s="200">
        <v>17.25</v>
      </c>
      <c r="K49" s="200">
        <v>13</v>
      </c>
    </row>
    <row r="50" spans="1:11" ht="12.75">
      <c r="A50" s="201" t="s">
        <v>23</v>
      </c>
      <c r="B50" s="201">
        <v>27.15</v>
      </c>
      <c r="C50" s="201">
        <v>22</v>
      </c>
      <c r="D50" s="201">
        <v>17.75</v>
      </c>
      <c r="E50" s="201">
        <v>14</v>
      </c>
      <c r="G50" s="200" t="s">
        <v>23</v>
      </c>
      <c r="H50" s="200">
        <v>23</v>
      </c>
      <c r="I50" s="200">
        <v>19.1</v>
      </c>
      <c r="J50" s="200">
        <v>16.7</v>
      </c>
      <c r="K50" s="200">
        <v>12.9</v>
      </c>
    </row>
    <row r="51" spans="1:11" ht="12.75">
      <c r="A51" s="201" t="s">
        <v>22</v>
      </c>
      <c r="B51" s="201">
        <v>9.2</v>
      </c>
      <c r="C51" s="201">
        <v>8.15</v>
      </c>
      <c r="D51" s="201">
        <v>7.15</v>
      </c>
      <c r="E51" s="201">
        <v>5.9</v>
      </c>
      <c r="G51" s="200" t="s">
        <v>22</v>
      </c>
      <c r="H51" s="200">
        <v>8.2</v>
      </c>
      <c r="I51" s="200">
        <v>7.25</v>
      </c>
      <c r="J51" s="200">
        <v>6.5</v>
      </c>
      <c r="K51" s="200">
        <v>5.6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C50"/>
  <sheetViews>
    <sheetView zoomScalePageLayoutView="0" workbookViewId="0" topLeftCell="A1">
      <selection activeCell="H37" sqref="H37"/>
    </sheetView>
  </sheetViews>
  <sheetFormatPr defaultColWidth="9.140625" defaultRowHeight="12.75"/>
  <cols>
    <col min="3" max="3" width="17.7109375" style="0" bestFit="1" customWidth="1"/>
  </cols>
  <sheetData>
    <row r="1" spans="1:3" ht="26.25" customHeight="1">
      <c r="A1" s="47" t="s">
        <v>75</v>
      </c>
      <c r="B1" s="48" t="s">
        <v>90</v>
      </c>
      <c r="C1" s="129"/>
    </row>
    <row r="2" spans="1:3" ht="12.75">
      <c r="A2" s="43" t="s">
        <v>71</v>
      </c>
      <c r="B2" s="43" t="s">
        <v>91</v>
      </c>
      <c r="C2" s="46"/>
    </row>
    <row r="3" spans="1:3" ht="12.75">
      <c r="A3" s="43" t="s">
        <v>72</v>
      </c>
      <c r="B3" s="43" t="s">
        <v>92</v>
      </c>
      <c r="C3" s="46"/>
    </row>
    <row r="4" ht="12.75">
      <c r="C4" s="46"/>
    </row>
    <row r="5" ht="12.75">
      <c r="C5" s="46"/>
    </row>
    <row r="6" ht="12.75">
      <c r="C6" s="46"/>
    </row>
    <row r="7" ht="12.75">
      <c r="C7" s="46"/>
    </row>
    <row r="8" ht="12.75">
      <c r="C8" s="46"/>
    </row>
    <row r="9" ht="12.75">
      <c r="C9" s="46"/>
    </row>
    <row r="10" ht="12.75">
      <c r="C10" s="46"/>
    </row>
    <row r="11" ht="12.75">
      <c r="C11" s="46"/>
    </row>
    <row r="12" ht="12.75">
      <c r="C12" s="46"/>
    </row>
    <row r="13" ht="12.75">
      <c r="C13" s="46"/>
    </row>
    <row r="14" ht="12.75">
      <c r="C14" s="46"/>
    </row>
    <row r="15" ht="12.75">
      <c r="C15" s="46"/>
    </row>
    <row r="16" ht="12.75">
      <c r="C16" s="46"/>
    </row>
    <row r="17" ht="12.75">
      <c r="C17" s="46"/>
    </row>
    <row r="18" ht="12.75">
      <c r="C18" s="46"/>
    </row>
    <row r="19" ht="12.75">
      <c r="C19" s="46"/>
    </row>
    <row r="20" ht="12.75">
      <c r="C20" s="46"/>
    </row>
    <row r="21" ht="12.75">
      <c r="C21" s="46"/>
    </row>
    <row r="22" ht="12.75">
      <c r="C22" s="46"/>
    </row>
    <row r="23" ht="12.75">
      <c r="C23" s="46"/>
    </row>
    <row r="24" ht="12.75">
      <c r="C24" s="46"/>
    </row>
    <row r="25" ht="12.75">
      <c r="C25" s="46"/>
    </row>
    <row r="26" ht="12.75">
      <c r="C26" s="46"/>
    </row>
    <row r="27" ht="12.75">
      <c r="C27" s="46"/>
    </row>
    <row r="28" ht="12.75">
      <c r="C28" s="46"/>
    </row>
    <row r="29" ht="12.75">
      <c r="C29" s="46"/>
    </row>
    <row r="30" ht="12.75">
      <c r="C30" s="46"/>
    </row>
    <row r="31" ht="12.75">
      <c r="C31" s="46"/>
    </row>
    <row r="32" ht="12.75">
      <c r="C32" s="46"/>
    </row>
    <row r="33" ht="12.75">
      <c r="C33" s="46"/>
    </row>
    <row r="34" ht="12.75">
      <c r="C34" s="46"/>
    </row>
    <row r="35" ht="12.75">
      <c r="C35" s="46"/>
    </row>
    <row r="36" ht="12.75">
      <c r="C36" s="46"/>
    </row>
    <row r="37" ht="12.75">
      <c r="C37" s="46"/>
    </row>
    <row r="38" ht="12.75">
      <c r="C38" s="46"/>
    </row>
    <row r="39" ht="12.75">
      <c r="C39" s="46"/>
    </row>
    <row r="40" ht="12.75">
      <c r="C40" s="46"/>
    </row>
    <row r="41" ht="12.75">
      <c r="C41" s="46"/>
    </row>
    <row r="42" ht="12.75">
      <c r="C42" s="46"/>
    </row>
    <row r="43" ht="12.75">
      <c r="C43" s="46"/>
    </row>
    <row r="44" ht="12.75">
      <c r="C44" s="46"/>
    </row>
    <row r="45" ht="12.75">
      <c r="C45" s="46"/>
    </row>
    <row r="46" ht="12.75">
      <c r="C46" s="46"/>
    </row>
    <row r="47" ht="12.75">
      <c r="C47" s="46"/>
    </row>
    <row r="48" ht="12.75">
      <c r="C48" s="46"/>
    </row>
    <row r="49" ht="12.75">
      <c r="C49" s="46"/>
    </row>
    <row r="50" ht="12.75">
      <c r="C50" s="4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0"/>
  </sheetPr>
  <dimension ref="A1:BS77"/>
  <sheetViews>
    <sheetView showZeros="0" zoomScalePageLayoutView="0" workbookViewId="0" topLeftCell="A1">
      <selection activeCell="Q25" sqref="Q25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3.28125" style="55" customWidth="1"/>
    <col min="4" max="4" width="18.00390625" style="51" bestFit="1" customWidth="1"/>
    <col min="5" max="5" width="6.28125" style="55" customWidth="1"/>
    <col min="6" max="6" width="5.8515625" style="55" customWidth="1"/>
    <col min="7" max="7" width="6.7109375" style="55" customWidth="1"/>
    <col min="8" max="8" width="5.7109375" style="55" customWidth="1"/>
    <col min="9" max="9" width="7.421875" style="55" customWidth="1"/>
    <col min="10" max="10" width="5.8515625" style="55" customWidth="1"/>
    <col min="11" max="11" width="6.00390625" style="55" customWidth="1"/>
    <col min="12" max="12" width="5.8515625" style="55" customWidth="1"/>
    <col min="13" max="13" width="8.421875" style="55" bestFit="1" customWidth="1"/>
    <col min="14" max="14" width="7.28125" style="55" customWidth="1"/>
    <col min="15" max="15" width="9.140625" style="55" hidden="1" customWidth="1"/>
    <col min="16" max="16" width="8.28125" style="55" customWidth="1"/>
    <col min="17" max="17" width="8.28125" style="55" bestFit="1" customWidth="1"/>
    <col min="18" max="29" width="9.8515625" style="51" customWidth="1"/>
    <col min="30" max="52" width="4.00390625" style="51" hidden="1" customWidth="1"/>
    <col min="53" max="16384" width="9.140625" style="51" customWidth="1"/>
  </cols>
  <sheetData>
    <row r="1" spans="1:71" s="49" customFormat="1" ht="22.5" customHeight="1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AD1" s="143"/>
      <c r="AE1" s="143"/>
      <c r="AF1" s="236" t="str">
        <f>INDEX(Clubs,1,1)</f>
        <v>Handforth</v>
      </c>
      <c r="AG1" s="228">
        <f>INDEX(Clubs,2,1)</f>
        <v>0</v>
      </c>
      <c r="AH1" s="228">
        <f>INDEX(Clubs,3,1)</f>
        <v>0</v>
      </c>
      <c r="AI1" s="228">
        <f>INDEX(Clubs,4,1)</f>
        <v>0</v>
      </c>
      <c r="AJ1" s="228">
        <f>INDEX(Clubs,5,1)</f>
        <v>0</v>
      </c>
      <c r="AK1" s="228">
        <f>INDEX(Clubs,6,1)</f>
        <v>0</v>
      </c>
      <c r="AL1" s="228">
        <f>INDEX(Clubs,7,1)</f>
        <v>0</v>
      </c>
      <c r="AM1" s="228">
        <f>INDEX(Clubs,8,1)</f>
        <v>0</v>
      </c>
      <c r="AN1" s="228">
        <f>INDEX(Clubs,9,1)</f>
        <v>0</v>
      </c>
      <c r="AO1" s="228">
        <f>INDEX(Clubs,10,1)</f>
        <v>0</v>
      </c>
      <c r="AP1" s="228">
        <f>INDEX(Clubs,11,1)</f>
        <v>0</v>
      </c>
      <c r="AQ1" s="228">
        <f>INDEX(Clubs,12,1)</f>
        <v>0</v>
      </c>
      <c r="AR1" s="228">
        <f>INDEX(Clubs,13,1)</f>
        <v>0</v>
      </c>
      <c r="AS1" s="228">
        <f>INDEX(Clubs,14,1)</f>
        <v>0</v>
      </c>
      <c r="AT1" s="228">
        <f>INDEX(Clubs,15,1)</f>
        <v>0</v>
      </c>
      <c r="AU1" s="228">
        <f>INDEX(Clubs,16,1)</f>
        <v>0</v>
      </c>
      <c r="AV1" s="228">
        <f>INDEX(Clubs,17,1)</f>
        <v>0</v>
      </c>
      <c r="AW1" s="228">
        <f>INDEX(Clubs,18,1)</f>
        <v>0</v>
      </c>
      <c r="AX1" s="228">
        <f>INDEX(Clubs,19,1)</f>
        <v>0</v>
      </c>
      <c r="AY1" s="228">
        <f>INDEX(Clubs,20,1)</f>
        <v>0</v>
      </c>
      <c r="AZ1" s="231">
        <f>INDEX(Clubs,21,1)</f>
        <v>0</v>
      </c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</row>
    <row r="2" spans="2:71" ht="12.75">
      <c r="B2" s="52"/>
      <c r="C2" s="53"/>
      <c r="D2" s="52"/>
      <c r="E2" s="54"/>
      <c r="F2" s="235" t="s">
        <v>127</v>
      </c>
      <c r="G2" s="235"/>
      <c r="H2" s="235"/>
      <c r="I2" s="235"/>
      <c r="J2" s="235"/>
      <c r="K2" s="54"/>
      <c r="L2" s="54"/>
      <c r="M2" s="54"/>
      <c r="N2" s="54"/>
      <c r="O2" s="54"/>
      <c r="P2" s="54"/>
      <c r="Q2" s="54"/>
      <c r="AD2" s="144"/>
      <c r="AE2" s="144"/>
      <c r="AF2" s="237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32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</row>
    <row r="3" spans="1:71" ht="12.75">
      <c r="A3" s="52"/>
      <c r="B3" s="56"/>
      <c r="C3" s="53"/>
      <c r="D3" s="52"/>
      <c r="E3" s="54"/>
      <c r="F3" s="54"/>
      <c r="G3" s="54"/>
      <c r="K3" s="54"/>
      <c r="O3" s="53"/>
      <c r="P3" s="57"/>
      <c r="Q3" s="58"/>
      <c r="AD3" s="144"/>
      <c r="AE3" s="144"/>
      <c r="AF3" s="237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32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</row>
    <row r="4" spans="1:71" ht="12.75">
      <c r="A4" s="59" t="s">
        <v>64</v>
      </c>
      <c r="B4" s="59"/>
      <c r="C4" s="60" t="str">
        <f>ArrangedBy</f>
        <v>Handforth W A A C</v>
      </c>
      <c r="E4" s="61" t="s">
        <v>62</v>
      </c>
      <c r="F4" s="62"/>
      <c r="G4" s="63" t="s">
        <v>60</v>
      </c>
      <c r="J4" s="54"/>
      <c r="K4" s="54"/>
      <c r="L4" s="54"/>
      <c r="M4" s="61" t="s">
        <v>87</v>
      </c>
      <c r="N4" s="63" t="str">
        <f>Date</f>
        <v>3rd July 2008</v>
      </c>
      <c r="O4" s="54"/>
      <c r="Q4" s="54"/>
      <c r="AD4" s="144"/>
      <c r="AE4" s="144"/>
      <c r="AF4" s="237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32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</row>
    <row r="5" spans="1:71" ht="12.75">
      <c r="A5" s="59" t="s">
        <v>65</v>
      </c>
      <c r="B5" s="59"/>
      <c r="C5" s="60">
        <f>Sponsor</f>
        <v>0</v>
      </c>
      <c r="E5" s="61" t="s">
        <v>63</v>
      </c>
      <c r="F5" s="62"/>
      <c r="G5" s="63"/>
      <c r="J5" s="54"/>
      <c r="K5" s="54"/>
      <c r="L5" s="54"/>
      <c r="M5" s="54"/>
      <c r="N5" s="54"/>
      <c r="O5" s="54"/>
      <c r="P5" s="54"/>
      <c r="Q5" s="54"/>
      <c r="AD5" s="144"/>
      <c r="AE5" s="144"/>
      <c r="AF5" s="237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32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</row>
    <row r="6" spans="1:71" s="75" customFormat="1" ht="38.25" customHeight="1">
      <c r="A6" s="64" t="s">
        <v>0</v>
      </c>
      <c r="B6" s="65" t="s">
        <v>1</v>
      </c>
      <c r="C6" s="66" t="s">
        <v>70</v>
      </c>
      <c r="D6" s="65" t="s">
        <v>2</v>
      </c>
      <c r="E6" s="67" t="s">
        <v>3</v>
      </c>
      <c r="F6" s="68" t="s">
        <v>6</v>
      </c>
      <c r="G6" s="67" t="s">
        <v>4</v>
      </c>
      <c r="H6" s="68" t="s">
        <v>6</v>
      </c>
      <c r="I6" s="69" t="s">
        <v>50</v>
      </c>
      <c r="J6" s="70" t="s">
        <v>6</v>
      </c>
      <c r="K6" s="71" t="s">
        <v>5</v>
      </c>
      <c r="L6" s="70" t="s">
        <v>6</v>
      </c>
      <c r="M6" s="72" t="s">
        <v>49</v>
      </c>
      <c r="N6" s="66" t="s">
        <v>37</v>
      </c>
      <c r="O6" s="66" t="s">
        <v>38</v>
      </c>
      <c r="P6" s="72" t="s">
        <v>39</v>
      </c>
      <c r="Q6" s="73" t="s">
        <v>79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145" t="s">
        <v>71</v>
      </c>
      <c r="AE6" s="145" t="s">
        <v>72</v>
      </c>
      <c r="AF6" s="238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3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52" s="85" customFormat="1" ht="12.75">
      <c r="A7" s="77">
        <v>125</v>
      </c>
      <c r="B7" s="78" t="s">
        <v>213</v>
      </c>
      <c r="C7" s="79" t="s">
        <v>72</v>
      </c>
      <c r="D7" s="78" t="s">
        <v>73</v>
      </c>
      <c r="E7" s="80">
        <v>19.4</v>
      </c>
      <c r="F7" s="98">
        <f aca="true" t="shared" si="0" ref="F7:F38">IF(E7="DNF",0,IF(E7=0,0,IF(E7&lt;=14,VLOOKUP(E7,T_100m,15,TRUE),IF(E7&lt;=15.2,VLOOKUP(E7,T_100m,15,TRUE),IF(E7&lt;=21,VLOOKUP(E7-0.01,T_100m,15,TRUE)-1,0)))))</f>
        <v>9</v>
      </c>
      <c r="G7" s="81"/>
      <c r="H7" s="98">
        <f aca="true" t="shared" si="1" ref="H7:H38">IF(G7="DNF",0,IF(G7=0,0,VLOOKUP(G7,T_800m,11,TRUE)-1))</f>
        <v>0</v>
      </c>
      <c r="I7" s="82">
        <v>1.71</v>
      </c>
      <c r="J7" s="99">
        <f>IF(I7="NJ",0,IF(I7&lt;'Scoring Tables'!$S$4,0,VLOOKUP(I7,T_Long,11,TRUE)))</f>
        <v>0</v>
      </c>
      <c r="K7" s="83">
        <v>5.95</v>
      </c>
      <c r="L7" s="99">
        <f>IF(K7="NT",0,IF(K7&lt;'Scoring Tables'!$X$14,0,VLOOKUP(K7,T_Javlin,6,TRUE)))</f>
        <v>14</v>
      </c>
      <c r="M7" s="100">
        <f>(LARGE((F7,H7),1)+J7+L7)</f>
        <v>23</v>
      </c>
      <c r="N7" s="101" t="str">
        <f aca="true" t="shared" si="2" ref="N7:N38">IF(M7=0,"",IF(C7="M",(RANK(M7,AD$7:AD$70)&amp;"B"),RANK(M7,AE$7:AE$70)&amp;"G"))</f>
        <v>2G</v>
      </c>
      <c r="O7" s="101" t="e">
        <f aca="true" t="shared" si="3" ref="O7:O19">IF(M7&lt;15,"",HLOOKUP(M7,T_U11B_3_Events,3))</f>
        <v>#N/A</v>
      </c>
      <c r="P7" s="102">
        <f aca="true" t="shared" si="4" ref="P7:P38">IF(M7=(HLOOKUP(D7,Team_Pos,71)),HLOOKUP(D7,Team_Pos,76),IF(M7=(HLOOKUP(D7,Team_Pos,72)),HLOOKUP(D7,Team_Pos,76),IF(M7=(HLOOKUP(D7,Team_Pos,73)),HLOOKUP(D7,Team_Pos,76),0)))</f>
        <v>0</v>
      </c>
      <c r="Q7" s="103">
        <f aca="true" t="shared" si="5" ref="Q7:Q38">IF(M7=(HLOOKUP(D7,Team_Pos,71)),HLOOKUP(D7,Team_Pos,77),IF(M7=(HLOOKUP(D7,Team_Pos,72)),HLOOKUP(D7,Team_Pos,77),IF(M7=(HLOOKUP(D7,Team_Pos,73)),HLOOKUP(D7,Team_Pos,77),0)))</f>
        <v>0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146">
        <f>IF(C7="M",M7,0)</f>
        <v>0</v>
      </c>
      <c r="AE7" s="147">
        <f>IF(C7="F",M7,0)</f>
        <v>23</v>
      </c>
      <c r="AF7" s="146">
        <f aca="true" t="shared" si="6" ref="AF7:AF38">IF($D7=AF$1,$M7,0)</f>
        <v>23</v>
      </c>
      <c r="AG7" s="148">
        <f aca="true" t="shared" si="7" ref="AG7:AZ16">IF($D7=AG$1,$M7,0)</f>
        <v>0</v>
      </c>
      <c r="AH7" s="148">
        <f t="shared" si="7"/>
        <v>0</v>
      </c>
      <c r="AI7" s="148">
        <f t="shared" si="7"/>
        <v>0</v>
      </c>
      <c r="AJ7" s="148">
        <f t="shared" si="7"/>
        <v>0</v>
      </c>
      <c r="AK7" s="148">
        <f t="shared" si="7"/>
        <v>0</v>
      </c>
      <c r="AL7" s="148">
        <f t="shared" si="7"/>
        <v>0</v>
      </c>
      <c r="AM7" s="148">
        <f t="shared" si="7"/>
        <v>0</v>
      </c>
      <c r="AN7" s="148">
        <f t="shared" si="7"/>
        <v>0</v>
      </c>
      <c r="AO7" s="148">
        <f t="shared" si="7"/>
        <v>0</v>
      </c>
      <c r="AP7" s="148">
        <f t="shared" si="7"/>
        <v>0</v>
      </c>
      <c r="AQ7" s="148">
        <f t="shared" si="7"/>
        <v>0</v>
      </c>
      <c r="AR7" s="148">
        <f t="shared" si="7"/>
        <v>0</v>
      </c>
      <c r="AS7" s="148">
        <f t="shared" si="7"/>
        <v>0</v>
      </c>
      <c r="AT7" s="148">
        <f t="shared" si="7"/>
        <v>0</v>
      </c>
      <c r="AU7" s="148">
        <f t="shared" si="7"/>
        <v>0</v>
      </c>
      <c r="AV7" s="148">
        <f t="shared" si="7"/>
        <v>0</v>
      </c>
      <c r="AW7" s="148">
        <f t="shared" si="7"/>
        <v>0</v>
      </c>
      <c r="AX7" s="148">
        <f t="shared" si="7"/>
        <v>0</v>
      </c>
      <c r="AY7" s="148">
        <f t="shared" si="7"/>
        <v>0</v>
      </c>
      <c r="AZ7" s="147">
        <f t="shared" si="7"/>
        <v>0</v>
      </c>
    </row>
    <row r="8" spans="1:52" s="85" customFormat="1" ht="12.75">
      <c r="A8" s="77">
        <v>126</v>
      </c>
      <c r="B8" s="78" t="s">
        <v>214</v>
      </c>
      <c r="C8" s="79" t="s">
        <v>72</v>
      </c>
      <c r="D8" s="78" t="s">
        <v>73</v>
      </c>
      <c r="E8" s="80">
        <v>18.76</v>
      </c>
      <c r="F8" s="98">
        <f t="shared" si="0"/>
        <v>13</v>
      </c>
      <c r="G8" s="86"/>
      <c r="H8" s="98">
        <f t="shared" si="1"/>
        <v>0</v>
      </c>
      <c r="I8" s="82">
        <v>2.12</v>
      </c>
      <c r="J8" s="99">
        <f>IF(I8="NJ",0,IF(I8&lt;'Scoring Tables'!$S$4,0,VLOOKUP(I8,T_Long,11,TRUE)))</f>
        <v>8</v>
      </c>
      <c r="K8" s="83">
        <v>7.98</v>
      </c>
      <c r="L8" s="99">
        <f>IF(K8="NT",0,IF(K8&lt;'Scoring Tables'!$X$14,0,VLOOKUP(K8,T_Javlin,6,TRUE)))</f>
        <v>18</v>
      </c>
      <c r="M8" s="100">
        <f>(LARGE((F8,H8),1)+J8+L8)</f>
        <v>39</v>
      </c>
      <c r="N8" s="101" t="str">
        <f t="shared" si="2"/>
        <v>1G</v>
      </c>
      <c r="O8" s="101" t="str">
        <f t="shared" si="3"/>
        <v>1*</v>
      </c>
      <c r="P8" s="102">
        <f t="shared" si="4"/>
        <v>0</v>
      </c>
      <c r="Q8" s="103">
        <f t="shared" si="5"/>
        <v>0</v>
      </c>
      <c r="AD8" s="149">
        <f aca="true" t="shared" si="8" ref="AD8:AD70">IF(C8="M",M8,0)</f>
        <v>0</v>
      </c>
      <c r="AE8" s="150">
        <f aca="true" t="shared" si="9" ref="AE8:AE70">IF(C8="F",M8,0)</f>
        <v>39</v>
      </c>
      <c r="AF8" s="149">
        <f t="shared" si="6"/>
        <v>39</v>
      </c>
      <c r="AG8" s="151">
        <f aca="true" t="shared" si="10" ref="AG8:AU8">IF($D8=AG$1,$M8,0)</f>
        <v>0</v>
      </c>
      <c r="AH8" s="151">
        <f t="shared" si="10"/>
        <v>0</v>
      </c>
      <c r="AI8" s="151">
        <f t="shared" si="10"/>
        <v>0</v>
      </c>
      <c r="AJ8" s="151">
        <f t="shared" si="10"/>
        <v>0</v>
      </c>
      <c r="AK8" s="151">
        <f t="shared" si="10"/>
        <v>0</v>
      </c>
      <c r="AL8" s="151">
        <f t="shared" si="10"/>
        <v>0</v>
      </c>
      <c r="AM8" s="151">
        <f t="shared" si="10"/>
        <v>0</v>
      </c>
      <c r="AN8" s="151">
        <f t="shared" si="10"/>
        <v>0</v>
      </c>
      <c r="AO8" s="151">
        <f t="shared" si="10"/>
        <v>0</v>
      </c>
      <c r="AP8" s="151">
        <f t="shared" si="10"/>
        <v>0</v>
      </c>
      <c r="AQ8" s="151">
        <f t="shared" si="10"/>
        <v>0</v>
      </c>
      <c r="AR8" s="151">
        <f t="shared" si="10"/>
        <v>0</v>
      </c>
      <c r="AS8" s="151">
        <f t="shared" si="10"/>
        <v>0</v>
      </c>
      <c r="AT8" s="151">
        <f t="shared" si="10"/>
        <v>0</v>
      </c>
      <c r="AU8" s="151">
        <f t="shared" si="10"/>
        <v>0</v>
      </c>
      <c r="AV8" s="151">
        <f t="shared" si="7"/>
        <v>0</v>
      </c>
      <c r="AW8" s="151">
        <f t="shared" si="7"/>
        <v>0</v>
      </c>
      <c r="AX8" s="151">
        <f t="shared" si="7"/>
        <v>0</v>
      </c>
      <c r="AY8" s="151">
        <f t="shared" si="7"/>
        <v>0</v>
      </c>
      <c r="AZ8" s="150">
        <f t="shared" si="7"/>
        <v>0</v>
      </c>
    </row>
    <row r="9" spans="1:52" s="85" customFormat="1" ht="12.75">
      <c r="A9" s="77">
        <v>89</v>
      </c>
      <c r="B9" s="88" t="s">
        <v>215</v>
      </c>
      <c r="C9" s="79" t="s">
        <v>71</v>
      </c>
      <c r="D9" s="78" t="s">
        <v>73</v>
      </c>
      <c r="E9" s="80">
        <v>15.3</v>
      </c>
      <c r="F9" s="98">
        <f t="shared" si="0"/>
        <v>48</v>
      </c>
      <c r="G9" s="86"/>
      <c r="H9" s="98">
        <f t="shared" si="1"/>
        <v>0</v>
      </c>
      <c r="I9" s="82">
        <v>2.45</v>
      </c>
      <c r="J9" s="99">
        <f>IF(I9="NJ",0,IF(I9&lt;'Scoring Tables'!$S$4,0,VLOOKUP(I9,T_Long,11,TRUE)))</f>
        <v>19</v>
      </c>
      <c r="K9" s="83">
        <v>12.45</v>
      </c>
      <c r="L9" s="99">
        <f>IF(K9="NT",0,IF(K9&lt;'Scoring Tables'!$X$14,0,VLOOKUP(K9,T_Javlin,6,TRUE)))</f>
        <v>34</v>
      </c>
      <c r="M9" s="100">
        <f>(LARGE((F9,H9),1)+J9+L9)</f>
        <v>101</v>
      </c>
      <c r="N9" s="101" t="str">
        <f t="shared" si="2"/>
        <v>4B</v>
      </c>
      <c r="O9" s="101" t="str">
        <f t="shared" si="3"/>
        <v>3*</v>
      </c>
      <c r="P9" s="102">
        <f t="shared" si="4"/>
        <v>0</v>
      </c>
      <c r="Q9" s="103">
        <f t="shared" si="5"/>
        <v>0</v>
      </c>
      <c r="AD9" s="149">
        <f t="shared" si="8"/>
        <v>101</v>
      </c>
      <c r="AE9" s="150">
        <f t="shared" si="9"/>
        <v>0</v>
      </c>
      <c r="AF9" s="149">
        <f t="shared" si="6"/>
        <v>101</v>
      </c>
      <c r="AG9" s="151">
        <f t="shared" si="7"/>
        <v>0</v>
      </c>
      <c r="AH9" s="151">
        <f t="shared" si="7"/>
        <v>0</v>
      </c>
      <c r="AI9" s="151">
        <f t="shared" si="7"/>
        <v>0</v>
      </c>
      <c r="AJ9" s="151">
        <f t="shared" si="7"/>
        <v>0</v>
      </c>
      <c r="AK9" s="151">
        <f t="shared" si="7"/>
        <v>0</v>
      </c>
      <c r="AL9" s="151">
        <f t="shared" si="7"/>
        <v>0</v>
      </c>
      <c r="AM9" s="151">
        <f t="shared" si="7"/>
        <v>0</v>
      </c>
      <c r="AN9" s="151">
        <f t="shared" si="7"/>
        <v>0</v>
      </c>
      <c r="AO9" s="151">
        <f t="shared" si="7"/>
        <v>0</v>
      </c>
      <c r="AP9" s="151">
        <f t="shared" si="7"/>
        <v>0</v>
      </c>
      <c r="AQ9" s="151">
        <f t="shared" si="7"/>
        <v>0</v>
      </c>
      <c r="AR9" s="151">
        <f t="shared" si="7"/>
        <v>0</v>
      </c>
      <c r="AS9" s="151">
        <f t="shared" si="7"/>
        <v>0</v>
      </c>
      <c r="AT9" s="151">
        <f t="shared" si="7"/>
        <v>0</v>
      </c>
      <c r="AU9" s="151">
        <f t="shared" si="7"/>
        <v>0</v>
      </c>
      <c r="AV9" s="151">
        <f t="shared" si="7"/>
        <v>0</v>
      </c>
      <c r="AW9" s="151">
        <f t="shared" si="7"/>
        <v>0</v>
      </c>
      <c r="AX9" s="151">
        <f t="shared" si="7"/>
        <v>0</v>
      </c>
      <c r="AY9" s="151">
        <f t="shared" si="7"/>
        <v>0</v>
      </c>
      <c r="AZ9" s="150">
        <f t="shared" si="7"/>
        <v>0</v>
      </c>
    </row>
    <row r="10" spans="1:52" s="85" customFormat="1" ht="12.75">
      <c r="A10" s="77">
        <v>104</v>
      </c>
      <c r="B10" s="78" t="s">
        <v>216</v>
      </c>
      <c r="C10" s="79" t="s">
        <v>71</v>
      </c>
      <c r="D10" s="78" t="s">
        <v>73</v>
      </c>
      <c r="E10" s="80">
        <v>15.88</v>
      </c>
      <c r="F10" s="98">
        <f t="shared" si="0"/>
        <v>42</v>
      </c>
      <c r="G10" s="86"/>
      <c r="H10" s="98">
        <f t="shared" si="1"/>
        <v>0</v>
      </c>
      <c r="I10" s="82">
        <v>2.94</v>
      </c>
      <c r="J10" s="99">
        <f>IF(I10="NJ",0,IF(I10&lt;'Scoring Tables'!$S$4,0,VLOOKUP(I10,T_Long,11,TRUE)))</f>
        <v>36</v>
      </c>
      <c r="K10" s="83">
        <v>12.88</v>
      </c>
      <c r="L10" s="99">
        <f>IF(K10="NT",0,IF(K10&lt;'Scoring Tables'!$X$14,0,VLOOKUP(K10,T_Javlin,6,TRUE)))</f>
        <v>36</v>
      </c>
      <c r="M10" s="100">
        <f>(LARGE((F10,H10),1)+J10+L10)</f>
        <v>114</v>
      </c>
      <c r="N10" s="101" t="str">
        <f t="shared" si="2"/>
        <v>3B</v>
      </c>
      <c r="O10" s="101" t="str">
        <f t="shared" si="3"/>
        <v>3*</v>
      </c>
      <c r="P10" s="102">
        <f t="shared" si="4"/>
        <v>402</v>
      </c>
      <c r="Q10" s="103">
        <f t="shared" si="5"/>
        <v>1</v>
      </c>
      <c r="AD10" s="149">
        <f t="shared" si="8"/>
        <v>114</v>
      </c>
      <c r="AE10" s="150">
        <f t="shared" si="9"/>
        <v>0</v>
      </c>
      <c r="AF10" s="149">
        <f t="shared" si="6"/>
        <v>114</v>
      </c>
      <c r="AG10" s="151">
        <f t="shared" si="7"/>
        <v>0</v>
      </c>
      <c r="AH10" s="151">
        <f t="shared" si="7"/>
        <v>0</v>
      </c>
      <c r="AI10" s="151">
        <f t="shared" si="7"/>
        <v>0</v>
      </c>
      <c r="AJ10" s="151">
        <f t="shared" si="7"/>
        <v>0</v>
      </c>
      <c r="AK10" s="151">
        <f t="shared" si="7"/>
        <v>0</v>
      </c>
      <c r="AL10" s="151">
        <f t="shared" si="7"/>
        <v>0</v>
      </c>
      <c r="AM10" s="151">
        <f t="shared" si="7"/>
        <v>0</v>
      </c>
      <c r="AN10" s="151">
        <f t="shared" si="7"/>
        <v>0</v>
      </c>
      <c r="AO10" s="151">
        <f t="shared" si="7"/>
        <v>0</v>
      </c>
      <c r="AP10" s="151">
        <f t="shared" si="7"/>
        <v>0</v>
      </c>
      <c r="AQ10" s="151">
        <f t="shared" si="7"/>
        <v>0</v>
      </c>
      <c r="AR10" s="151">
        <f t="shared" si="7"/>
        <v>0</v>
      </c>
      <c r="AS10" s="151">
        <f t="shared" si="7"/>
        <v>0</v>
      </c>
      <c r="AT10" s="151">
        <f t="shared" si="7"/>
        <v>0</v>
      </c>
      <c r="AU10" s="151">
        <f t="shared" si="7"/>
        <v>0</v>
      </c>
      <c r="AV10" s="151">
        <f t="shared" si="7"/>
        <v>0</v>
      </c>
      <c r="AW10" s="151">
        <f t="shared" si="7"/>
        <v>0</v>
      </c>
      <c r="AX10" s="151">
        <f t="shared" si="7"/>
        <v>0</v>
      </c>
      <c r="AY10" s="151">
        <f t="shared" si="7"/>
        <v>0</v>
      </c>
      <c r="AZ10" s="150">
        <f t="shared" si="7"/>
        <v>0</v>
      </c>
    </row>
    <row r="11" spans="1:52" s="85" customFormat="1" ht="12.75">
      <c r="A11" s="77">
        <v>129</v>
      </c>
      <c r="B11" s="78" t="s">
        <v>217</v>
      </c>
      <c r="C11" s="79" t="s">
        <v>71</v>
      </c>
      <c r="D11" s="78" t="s">
        <v>73</v>
      </c>
      <c r="E11" s="80">
        <v>16.2</v>
      </c>
      <c r="F11" s="98">
        <f t="shared" si="0"/>
        <v>39</v>
      </c>
      <c r="G11" s="86"/>
      <c r="H11" s="98">
        <f t="shared" si="1"/>
        <v>0</v>
      </c>
      <c r="I11" s="82">
        <v>2.08</v>
      </c>
      <c r="J11" s="99">
        <f>IF(I11="NJ",0,IF(I11&lt;'Scoring Tables'!$S$4,0,VLOOKUP(I11,T_Long,11,TRUE)))</f>
        <v>7</v>
      </c>
      <c r="K11" s="83">
        <v>12.08</v>
      </c>
      <c r="L11" s="99">
        <f>IF(K11="NT",0,IF(K11&lt;'Scoring Tables'!$X$14,0,VLOOKUP(K11,T_Javlin,6,TRUE)))</f>
        <v>33</v>
      </c>
      <c r="M11" s="100">
        <f>(LARGE((F11,H11),1)+J11+L11)</f>
        <v>79</v>
      </c>
      <c r="N11" s="101" t="str">
        <f t="shared" si="2"/>
        <v>8B</v>
      </c>
      <c r="O11" s="101" t="str">
        <f t="shared" si="3"/>
        <v>2*</v>
      </c>
      <c r="P11" s="102">
        <f t="shared" si="4"/>
        <v>0</v>
      </c>
      <c r="Q11" s="103">
        <f t="shared" si="5"/>
        <v>0</v>
      </c>
      <c r="AD11" s="149">
        <f t="shared" si="8"/>
        <v>79</v>
      </c>
      <c r="AE11" s="150">
        <f t="shared" si="9"/>
        <v>0</v>
      </c>
      <c r="AF11" s="149">
        <f t="shared" si="6"/>
        <v>79</v>
      </c>
      <c r="AG11" s="151">
        <f t="shared" si="7"/>
        <v>0</v>
      </c>
      <c r="AH11" s="151">
        <f t="shared" si="7"/>
        <v>0</v>
      </c>
      <c r="AI11" s="151">
        <f t="shared" si="7"/>
        <v>0</v>
      </c>
      <c r="AJ11" s="151">
        <f t="shared" si="7"/>
        <v>0</v>
      </c>
      <c r="AK11" s="151">
        <f t="shared" si="7"/>
        <v>0</v>
      </c>
      <c r="AL11" s="151">
        <f t="shared" si="7"/>
        <v>0</v>
      </c>
      <c r="AM11" s="151">
        <f t="shared" si="7"/>
        <v>0</v>
      </c>
      <c r="AN11" s="151">
        <f t="shared" si="7"/>
        <v>0</v>
      </c>
      <c r="AO11" s="151">
        <f t="shared" si="7"/>
        <v>0</v>
      </c>
      <c r="AP11" s="151">
        <f t="shared" si="7"/>
        <v>0</v>
      </c>
      <c r="AQ11" s="151">
        <f t="shared" si="7"/>
        <v>0</v>
      </c>
      <c r="AR11" s="151">
        <f t="shared" si="7"/>
        <v>0</v>
      </c>
      <c r="AS11" s="151">
        <f t="shared" si="7"/>
        <v>0</v>
      </c>
      <c r="AT11" s="151">
        <f t="shared" si="7"/>
        <v>0</v>
      </c>
      <c r="AU11" s="151">
        <f t="shared" si="7"/>
        <v>0</v>
      </c>
      <c r="AV11" s="151">
        <f t="shared" si="7"/>
        <v>0</v>
      </c>
      <c r="AW11" s="151">
        <f t="shared" si="7"/>
        <v>0</v>
      </c>
      <c r="AX11" s="151">
        <f t="shared" si="7"/>
        <v>0</v>
      </c>
      <c r="AY11" s="151">
        <f t="shared" si="7"/>
        <v>0</v>
      </c>
      <c r="AZ11" s="150">
        <f t="shared" si="7"/>
        <v>0</v>
      </c>
    </row>
    <row r="12" spans="1:52" s="85" customFormat="1" ht="12.75">
      <c r="A12" s="77">
        <v>127</v>
      </c>
      <c r="B12" s="78" t="s">
        <v>218</v>
      </c>
      <c r="C12" s="79" t="s">
        <v>71</v>
      </c>
      <c r="D12" s="78" t="s">
        <v>73</v>
      </c>
      <c r="E12" s="80">
        <v>15.5</v>
      </c>
      <c r="F12" s="98">
        <f t="shared" si="0"/>
        <v>46</v>
      </c>
      <c r="G12" s="86"/>
      <c r="H12" s="98">
        <f t="shared" si="1"/>
        <v>0</v>
      </c>
      <c r="I12" s="82">
        <v>2.74</v>
      </c>
      <c r="J12" s="99">
        <f>IF(I12="NJ",0,IF(I12&lt;'Scoring Tables'!$S$4,0,VLOOKUP(I12,T_Long,11,TRUE)))</f>
        <v>29</v>
      </c>
      <c r="K12" s="83">
        <v>8.66</v>
      </c>
      <c r="L12" s="99">
        <f>IF(K12="NT",0,IF(K12&lt;'Scoring Tables'!$X$14,0,VLOOKUP(K12,T_Javlin,6,TRUE)))</f>
        <v>20</v>
      </c>
      <c r="M12" s="100">
        <f>(LARGE((F12,H12),1)+J12+L12)</f>
        <v>95</v>
      </c>
      <c r="N12" s="101" t="str">
        <f t="shared" si="2"/>
        <v>6B</v>
      </c>
      <c r="O12" s="101" t="str">
        <f t="shared" si="3"/>
        <v>3*</v>
      </c>
      <c r="P12" s="102">
        <f t="shared" si="4"/>
        <v>0</v>
      </c>
      <c r="Q12" s="103">
        <f t="shared" si="5"/>
        <v>0</v>
      </c>
      <c r="AD12" s="149">
        <f t="shared" si="8"/>
        <v>95</v>
      </c>
      <c r="AE12" s="150">
        <f t="shared" si="9"/>
        <v>0</v>
      </c>
      <c r="AF12" s="149">
        <f t="shared" si="6"/>
        <v>95</v>
      </c>
      <c r="AG12" s="151">
        <f t="shared" si="7"/>
        <v>0</v>
      </c>
      <c r="AH12" s="151">
        <f t="shared" si="7"/>
        <v>0</v>
      </c>
      <c r="AI12" s="151">
        <f t="shared" si="7"/>
        <v>0</v>
      </c>
      <c r="AJ12" s="151">
        <f t="shared" si="7"/>
        <v>0</v>
      </c>
      <c r="AK12" s="151">
        <f t="shared" si="7"/>
        <v>0</v>
      </c>
      <c r="AL12" s="151">
        <f t="shared" si="7"/>
        <v>0</v>
      </c>
      <c r="AM12" s="151">
        <f t="shared" si="7"/>
        <v>0</v>
      </c>
      <c r="AN12" s="151">
        <f t="shared" si="7"/>
        <v>0</v>
      </c>
      <c r="AO12" s="151">
        <f t="shared" si="7"/>
        <v>0</v>
      </c>
      <c r="AP12" s="151">
        <f t="shared" si="7"/>
        <v>0</v>
      </c>
      <c r="AQ12" s="151">
        <f t="shared" si="7"/>
        <v>0</v>
      </c>
      <c r="AR12" s="151">
        <f t="shared" si="7"/>
        <v>0</v>
      </c>
      <c r="AS12" s="151">
        <f t="shared" si="7"/>
        <v>0</v>
      </c>
      <c r="AT12" s="151">
        <f t="shared" si="7"/>
        <v>0</v>
      </c>
      <c r="AU12" s="151">
        <f t="shared" si="7"/>
        <v>0</v>
      </c>
      <c r="AV12" s="151">
        <f t="shared" si="7"/>
        <v>0</v>
      </c>
      <c r="AW12" s="151">
        <f t="shared" si="7"/>
        <v>0</v>
      </c>
      <c r="AX12" s="151">
        <f t="shared" si="7"/>
        <v>0</v>
      </c>
      <c r="AY12" s="151">
        <f t="shared" si="7"/>
        <v>0</v>
      </c>
      <c r="AZ12" s="150">
        <f t="shared" si="7"/>
        <v>0</v>
      </c>
    </row>
    <row r="13" spans="1:52" s="85" customFormat="1" ht="12.75">
      <c r="A13" s="77">
        <v>84</v>
      </c>
      <c r="B13" s="78" t="s">
        <v>219</v>
      </c>
      <c r="C13" s="79" t="s">
        <v>71</v>
      </c>
      <c r="D13" s="78" t="s">
        <v>73</v>
      </c>
      <c r="E13" s="80">
        <v>14</v>
      </c>
      <c r="F13" s="98">
        <f t="shared" si="0"/>
        <v>73</v>
      </c>
      <c r="G13" s="86"/>
      <c r="H13" s="98">
        <f t="shared" si="1"/>
        <v>0</v>
      </c>
      <c r="I13" s="82">
        <v>2.77</v>
      </c>
      <c r="J13" s="99">
        <f>IF(I13="NJ",0,IF(I13&lt;'Scoring Tables'!$S$4,0,VLOOKUP(I13,T_Long,11,TRUE)))</f>
        <v>30</v>
      </c>
      <c r="K13" s="83">
        <v>9.7</v>
      </c>
      <c r="L13" s="99">
        <f>IF(K13="NT",0,IF(K13&lt;'Scoring Tables'!$X$14,0,VLOOKUP(K13,T_Javlin,6,TRUE)))</f>
        <v>23</v>
      </c>
      <c r="M13" s="100">
        <f>(LARGE((F13,H13),1)+J13+L13)</f>
        <v>126</v>
      </c>
      <c r="N13" s="101" t="str">
        <f t="shared" si="2"/>
        <v>2B</v>
      </c>
      <c r="O13" s="101" t="str">
        <f t="shared" si="3"/>
        <v>4*</v>
      </c>
      <c r="P13" s="102">
        <f t="shared" si="4"/>
        <v>402</v>
      </c>
      <c r="Q13" s="103">
        <f t="shared" si="5"/>
        <v>1</v>
      </c>
      <c r="AD13" s="149">
        <f t="shared" si="8"/>
        <v>126</v>
      </c>
      <c r="AE13" s="150">
        <f t="shared" si="9"/>
        <v>0</v>
      </c>
      <c r="AF13" s="149">
        <f t="shared" si="6"/>
        <v>126</v>
      </c>
      <c r="AG13" s="151">
        <f t="shared" si="7"/>
        <v>0</v>
      </c>
      <c r="AH13" s="151">
        <f t="shared" si="7"/>
        <v>0</v>
      </c>
      <c r="AI13" s="151">
        <f t="shared" si="7"/>
        <v>0</v>
      </c>
      <c r="AJ13" s="151">
        <f t="shared" si="7"/>
        <v>0</v>
      </c>
      <c r="AK13" s="151">
        <f t="shared" si="7"/>
        <v>0</v>
      </c>
      <c r="AL13" s="151">
        <f t="shared" si="7"/>
        <v>0</v>
      </c>
      <c r="AM13" s="151">
        <f t="shared" si="7"/>
        <v>0</v>
      </c>
      <c r="AN13" s="151">
        <f t="shared" si="7"/>
        <v>0</v>
      </c>
      <c r="AO13" s="151">
        <f t="shared" si="7"/>
        <v>0</v>
      </c>
      <c r="AP13" s="151">
        <f t="shared" si="7"/>
        <v>0</v>
      </c>
      <c r="AQ13" s="151">
        <f t="shared" si="7"/>
        <v>0</v>
      </c>
      <c r="AR13" s="151">
        <f t="shared" si="7"/>
        <v>0</v>
      </c>
      <c r="AS13" s="151">
        <f t="shared" si="7"/>
        <v>0</v>
      </c>
      <c r="AT13" s="151">
        <f t="shared" si="7"/>
        <v>0</v>
      </c>
      <c r="AU13" s="151">
        <f t="shared" si="7"/>
        <v>0</v>
      </c>
      <c r="AV13" s="151">
        <f t="shared" si="7"/>
        <v>0</v>
      </c>
      <c r="AW13" s="151">
        <f t="shared" si="7"/>
        <v>0</v>
      </c>
      <c r="AX13" s="151">
        <f t="shared" si="7"/>
        <v>0</v>
      </c>
      <c r="AY13" s="151">
        <f t="shared" si="7"/>
        <v>0</v>
      </c>
      <c r="AZ13" s="150">
        <f t="shared" si="7"/>
        <v>0</v>
      </c>
    </row>
    <row r="14" spans="1:52" s="85" customFormat="1" ht="12.75">
      <c r="A14" s="77">
        <v>91</v>
      </c>
      <c r="B14" s="78" t="s">
        <v>220</v>
      </c>
      <c r="C14" s="79" t="s">
        <v>71</v>
      </c>
      <c r="D14" s="78" t="s">
        <v>73</v>
      </c>
      <c r="E14" s="80">
        <v>13.9</v>
      </c>
      <c r="F14" s="98">
        <f t="shared" si="0"/>
        <v>74</v>
      </c>
      <c r="G14" s="86"/>
      <c r="H14" s="98">
        <f t="shared" si="1"/>
        <v>0</v>
      </c>
      <c r="I14" s="82">
        <v>3.33</v>
      </c>
      <c r="J14" s="99">
        <f>IF(I14="NJ",0,IF(I14&lt;'Scoring Tables'!$S$4,0,VLOOKUP(I14,T_Long,11,TRUE)))</f>
        <v>49</v>
      </c>
      <c r="K14" s="83">
        <v>13.66</v>
      </c>
      <c r="L14" s="99">
        <f>IF(K14="NT",0,IF(K14&lt;'Scoring Tables'!$X$14,0,VLOOKUP(K14,T_Javlin,6,TRUE)))</f>
        <v>39</v>
      </c>
      <c r="M14" s="100">
        <f>(LARGE((F14,H14),1)+J14+L14)</f>
        <v>162</v>
      </c>
      <c r="N14" s="101" t="str">
        <f t="shared" si="2"/>
        <v>1B</v>
      </c>
      <c r="O14" s="101" t="str">
        <f t="shared" si="3"/>
        <v>5*</v>
      </c>
      <c r="P14" s="102">
        <f t="shared" si="4"/>
        <v>402</v>
      </c>
      <c r="Q14" s="103">
        <f t="shared" si="5"/>
        <v>1</v>
      </c>
      <c r="AD14" s="149">
        <f t="shared" si="8"/>
        <v>162</v>
      </c>
      <c r="AE14" s="150">
        <f t="shared" si="9"/>
        <v>0</v>
      </c>
      <c r="AF14" s="149">
        <f t="shared" si="6"/>
        <v>162</v>
      </c>
      <c r="AG14" s="151">
        <f t="shared" si="7"/>
        <v>0</v>
      </c>
      <c r="AH14" s="151">
        <f t="shared" si="7"/>
        <v>0</v>
      </c>
      <c r="AI14" s="151">
        <f t="shared" si="7"/>
        <v>0</v>
      </c>
      <c r="AJ14" s="151">
        <f t="shared" si="7"/>
        <v>0</v>
      </c>
      <c r="AK14" s="151">
        <f t="shared" si="7"/>
        <v>0</v>
      </c>
      <c r="AL14" s="151">
        <f t="shared" si="7"/>
        <v>0</v>
      </c>
      <c r="AM14" s="151">
        <f t="shared" si="7"/>
        <v>0</v>
      </c>
      <c r="AN14" s="151">
        <f t="shared" si="7"/>
        <v>0</v>
      </c>
      <c r="AO14" s="151">
        <f t="shared" si="7"/>
        <v>0</v>
      </c>
      <c r="AP14" s="151">
        <f t="shared" si="7"/>
        <v>0</v>
      </c>
      <c r="AQ14" s="151">
        <f t="shared" si="7"/>
        <v>0</v>
      </c>
      <c r="AR14" s="151">
        <f t="shared" si="7"/>
        <v>0</v>
      </c>
      <c r="AS14" s="151">
        <f t="shared" si="7"/>
        <v>0</v>
      </c>
      <c r="AT14" s="151">
        <f t="shared" si="7"/>
        <v>0</v>
      </c>
      <c r="AU14" s="151">
        <f t="shared" si="7"/>
        <v>0</v>
      </c>
      <c r="AV14" s="151">
        <f t="shared" si="7"/>
        <v>0</v>
      </c>
      <c r="AW14" s="151">
        <f t="shared" si="7"/>
        <v>0</v>
      </c>
      <c r="AX14" s="151">
        <f t="shared" si="7"/>
        <v>0</v>
      </c>
      <c r="AY14" s="151">
        <f t="shared" si="7"/>
        <v>0</v>
      </c>
      <c r="AZ14" s="150">
        <f t="shared" si="7"/>
        <v>0</v>
      </c>
    </row>
    <row r="15" spans="1:52" s="85" customFormat="1" ht="12.75">
      <c r="A15" s="77">
        <v>90</v>
      </c>
      <c r="B15" s="78" t="s">
        <v>221</v>
      </c>
      <c r="C15" s="79" t="s">
        <v>71</v>
      </c>
      <c r="D15" s="78" t="s">
        <v>73</v>
      </c>
      <c r="E15" s="80">
        <v>15.9</v>
      </c>
      <c r="F15" s="98">
        <f t="shared" si="0"/>
        <v>42</v>
      </c>
      <c r="G15" s="86"/>
      <c r="H15" s="98">
        <f t="shared" si="1"/>
        <v>0</v>
      </c>
      <c r="I15" s="82">
        <v>3.05</v>
      </c>
      <c r="J15" s="99">
        <f>IF(I15="NJ",0,IF(I15&lt;'Scoring Tables'!$S$4,0,VLOOKUP(I15,T_Long,11,TRUE)))</f>
        <v>39</v>
      </c>
      <c r="K15" s="83">
        <v>8.37</v>
      </c>
      <c r="L15" s="99">
        <f>IF(K15="NT",0,IF(K15&lt;'Scoring Tables'!$X$14,0,VLOOKUP(K15,T_Javlin,6,TRUE)))</f>
        <v>19</v>
      </c>
      <c r="M15" s="100">
        <f>(LARGE((F15,H15),1)+J15+L15)</f>
        <v>100</v>
      </c>
      <c r="N15" s="101" t="str">
        <f t="shared" si="2"/>
        <v>5B</v>
      </c>
      <c r="O15" s="101" t="str">
        <f t="shared" si="3"/>
        <v>3*</v>
      </c>
      <c r="P15" s="102">
        <f t="shared" si="4"/>
        <v>0</v>
      </c>
      <c r="Q15" s="103">
        <f t="shared" si="5"/>
        <v>0</v>
      </c>
      <c r="AD15" s="149">
        <f t="shared" si="8"/>
        <v>100</v>
      </c>
      <c r="AE15" s="150">
        <f t="shared" si="9"/>
        <v>0</v>
      </c>
      <c r="AF15" s="149">
        <f t="shared" si="6"/>
        <v>100</v>
      </c>
      <c r="AG15" s="151">
        <f t="shared" si="7"/>
        <v>0</v>
      </c>
      <c r="AH15" s="151">
        <f t="shared" si="7"/>
        <v>0</v>
      </c>
      <c r="AI15" s="151">
        <f t="shared" si="7"/>
        <v>0</v>
      </c>
      <c r="AJ15" s="151">
        <f t="shared" si="7"/>
        <v>0</v>
      </c>
      <c r="AK15" s="151">
        <f t="shared" si="7"/>
        <v>0</v>
      </c>
      <c r="AL15" s="151">
        <f t="shared" si="7"/>
        <v>0</v>
      </c>
      <c r="AM15" s="151">
        <f t="shared" si="7"/>
        <v>0</v>
      </c>
      <c r="AN15" s="151">
        <f t="shared" si="7"/>
        <v>0</v>
      </c>
      <c r="AO15" s="151">
        <f t="shared" si="7"/>
        <v>0</v>
      </c>
      <c r="AP15" s="151">
        <f t="shared" si="7"/>
        <v>0</v>
      </c>
      <c r="AQ15" s="151">
        <f t="shared" si="7"/>
        <v>0</v>
      </c>
      <c r="AR15" s="151">
        <f t="shared" si="7"/>
        <v>0</v>
      </c>
      <c r="AS15" s="151">
        <f t="shared" si="7"/>
        <v>0</v>
      </c>
      <c r="AT15" s="151">
        <f t="shared" si="7"/>
        <v>0</v>
      </c>
      <c r="AU15" s="151">
        <f t="shared" si="7"/>
        <v>0</v>
      </c>
      <c r="AV15" s="151">
        <f t="shared" si="7"/>
        <v>0</v>
      </c>
      <c r="AW15" s="151">
        <f t="shared" si="7"/>
        <v>0</v>
      </c>
      <c r="AX15" s="151">
        <f t="shared" si="7"/>
        <v>0</v>
      </c>
      <c r="AY15" s="151">
        <f t="shared" si="7"/>
        <v>0</v>
      </c>
      <c r="AZ15" s="150">
        <f t="shared" si="7"/>
        <v>0</v>
      </c>
    </row>
    <row r="16" spans="1:52" s="85" customFormat="1" ht="12.75">
      <c r="A16" s="77">
        <v>87</v>
      </c>
      <c r="B16" s="78" t="s">
        <v>222</v>
      </c>
      <c r="C16" s="79" t="s">
        <v>71</v>
      </c>
      <c r="D16" s="78" t="s">
        <v>73</v>
      </c>
      <c r="E16" s="80">
        <v>17.1</v>
      </c>
      <c r="F16" s="98">
        <f t="shared" si="0"/>
        <v>30</v>
      </c>
      <c r="G16" s="86"/>
      <c r="H16" s="98">
        <f t="shared" si="1"/>
        <v>0</v>
      </c>
      <c r="I16" s="82">
        <v>2.28</v>
      </c>
      <c r="J16" s="99">
        <f>IF(I16="NJ",0,IF(I16&lt;'Scoring Tables'!$S$4,0,VLOOKUP(I16,T_Long,11,TRUE)))</f>
        <v>14</v>
      </c>
      <c r="K16" s="83">
        <v>8.98</v>
      </c>
      <c r="L16" s="99">
        <f>IF(K16="NT",0,IF(K16&lt;'Scoring Tables'!$X$14,0,VLOOKUP(K16,T_Javlin,6,TRUE)))</f>
        <v>20</v>
      </c>
      <c r="M16" s="100">
        <f>(LARGE((F16,H16),1)+J16+L16)</f>
        <v>64</v>
      </c>
      <c r="N16" s="101" t="str">
        <f t="shared" si="2"/>
        <v>10B</v>
      </c>
      <c r="O16" s="101" t="str">
        <f t="shared" si="3"/>
        <v>2*</v>
      </c>
      <c r="P16" s="102">
        <f t="shared" si="4"/>
        <v>0</v>
      </c>
      <c r="Q16" s="103">
        <f t="shared" si="5"/>
        <v>0</v>
      </c>
      <c r="AD16" s="149">
        <f t="shared" si="8"/>
        <v>64</v>
      </c>
      <c r="AE16" s="150">
        <f t="shared" si="9"/>
        <v>0</v>
      </c>
      <c r="AF16" s="149">
        <f t="shared" si="6"/>
        <v>64</v>
      </c>
      <c r="AG16" s="151">
        <f t="shared" si="7"/>
        <v>0</v>
      </c>
      <c r="AH16" s="151">
        <f t="shared" si="7"/>
        <v>0</v>
      </c>
      <c r="AI16" s="151">
        <f t="shared" si="7"/>
        <v>0</v>
      </c>
      <c r="AJ16" s="151">
        <f t="shared" si="7"/>
        <v>0</v>
      </c>
      <c r="AK16" s="151">
        <f t="shared" si="7"/>
        <v>0</v>
      </c>
      <c r="AL16" s="151">
        <f t="shared" si="7"/>
        <v>0</v>
      </c>
      <c r="AM16" s="151">
        <f t="shared" si="7"/>
        <v>0</v>
      </c>
      <c r="AN16" s="151">
        <f t="shared" si="7"/>
        <v>0</v>
      </c>
      <c r="AO16" s="151">
        <f t="shared" si="7"/>
        <v>0</v>
      </c>
      <c r="AP16" s="151">
        <f aca="true" t="shared" si="11" ref="AG16:AZ25">IF($D16=AP$1,$M16,0)</f>
        <v>0</v>
      </c>
      <c r="AQ16" s="151">
        <f t="shared" si="11"/>
        <v>0</v>
      </c>
      <c r="AR16" s="151">
        <f t="shared" si="11"/>
        <v>0</v>
      </c>
      <c r="AS16" s="151">
        <f t="shared" si="11"/>
        <v>0</v>
      </c>
      <c r="AT16" s="151">
        <f t="shared" si="11"/>
        <v>0</v>
      </c>
      <c r="AU16" s="151">
        <f t="shared" si="11"/>
        <v>0</v>
      </c>
      <c r="AV16" s="151">
        <f t="shared" si="11"/>
        <v>0</v>
      </c>
      <c r="AW16" s="151">
        <f t="shared" si="11"/>
        <v>0</v>
      </c>
      <c r="AX16" s="151">
        <f t="shared" si="11"/>
        <v>0</v>
      </c>
      <c r="AY16" s="151">
        <f t="shared" si="11"/>
        <v>0</v>
      </c>
      <c r="AZ16" s="150">
        <f t="shared" si="11"/>
        <v>0</v>
      </c>
    </row>
    <row r="17" spans="1:52" s="85" customFormat="1" ht="12.75">
      <c r="A17" s="77">
        <v>93</v>
      </c>
      <c r="B17" s="78" t="s">
        <v>223</v>
      </c>
      <c r="C17" s="79" t="s">
        <v>71</v>
      </c>
      <c r="D17" s="78" t="s">
        <v>73</v>
      </c>
      <c r="E17" s="80">
        <v>16.7</v>
      </c>
      <c r="F17" s="98">
        <f t="shared" si="0"/>
        <v>34</v>
      </c>
      <c r="G17" s="86"/>
      <c r="H17" s="98">
        <f t="shared" si="1"/>
        <v>0</v>
      </c>
      <c r="I17" s="82">
        <v>2.3</v>
      </c>
      <c r="J17" s="99">
        <f>IF(I17="NJ",0,IF(I17&lt;'Scoring Tables'!$S$4,0,VLOOKUP(I17,T_Long,11,TRUE)))</f>
        <v>14</v>
      </c>
      <c r="K17" s="83">
        <v>10.08</v>
      </c>
      <c r="L17" s="99">
        <f>IF(K17="NT",0,IF(K17&lt;'Scoring Tables'!$X$14,0,VLOOKUP(K17,T_Javlin,6,TRUE)))</f>
        <v>25</v>
      </c>
      <c r="M17" s="100">
        <f>(LARGE((F17,H17),1)+J17+L17)</f>
        <v>73</v>
      </c>
      <c r="N17" s="101" t="str">
        <f t="shared" si="2"/>
        <v>9B</v>
      </c>
      <c r="O17" s="101" t="str">
        <f t="shared" si="3"/>
        <v>2*</v>
      </c>
      <c r="P17" s="102">
        <f t="shared" si="4"/>
        <v>0</v>
      </c>
      <c r="Q17" s="103">
        <f t="shared" si="5"/>
        <v>0</v>
      </c>
      <c r="AD17" s="149">
        <f t="shared" si="8"/>
        <v>73</v>
      </c>
      <c r="AE17" s="150">
        <f t="shared" si="9"/>
        <v>0</v>
      </c>
      <c r="AF17" s="149">
        <f t="shared" si="6"/>
        <v>73</v>
      </c>
      <c r="AG17" s="151">
        <f t="shared" si="11"/>
        <v>0</v>
      </c>
      <c r="AH17" s="151">
        <f t="shared" si="11"/>
        <v>0</v>
      </c>
      <c r="AI17" s="151">
        <f t="shared" si="11"/>
        <v>0</v>
      </c>
      <c r="AJ17" s="151">
        <f t="shared" si="11"/>
        <v>0</v>
      </c>
      <c r="AK17" s="151">
        <f t="shared" si="11"/>
        <v>0</v>
      </c>
      <c r="AL17" s="151">
        <f t="shared" si="11"/>
        <v>0</v>
      </c>
      <c r="AM17" s="151">
        <f t="shared" si="11"/>
        <v>0</v>
      </c>
      <c r="AN17" s="151">
        <f t="shared" si="11"/>
        <v>0</v>
      </c>
      <c r="AO17" s="151">
        <f t="shared" si="11"/>
        <v>0</v>
      </c>
      <c r="AP17" s="151">
        <f t="shared" si="11"/>
        <v>0</v>
      </c>
      <c r="AQ17" s="151">
        <f t="shared" si="11"/>
        <v>0</v>
      </c>
      <c r="AR17" s="151">
        <f t="shared" si="11"/>
        <v>0</v>
      </c>
      <c r="AS17" s="151">
        <f t="shared" si="11"/>
        <v>0</v>
      </c>
      <c r="AT17" s="151">
        <f t="shared" si="11"/>
        <v>0</v>
      </c>
      <c r="AU17" s="151">
        <f t="shared" si="11"/>
        <v>0</v>
      </c>
      <c r="AV17" s="151">
        <f t="shared" si="11"/>
        <v>0</v>
      </c>
      <c r="AW17" s="151">
        <f t="shared" si="11"/>
        <v>0</v>
      </c>
      <c r="AX17" s="151">
        <f t="shared" si="11"/>
        <v>0</v>
      </c>
      <c r="AY17" s="151">
        <f t="shared" si="11"/>
        <v>0</v>
      </c>
      <c r="AZ17" s="150">
        <f t="shared" si="11"/>
        <v>0</v>
      </c>
    </row>
    <row r="18" spans="1:52" s="85" customFormat="1" ht="12.75">
      <c r="A18" s="77">
        <v>134</v>
      </c>
      <c r="B18" s="78" t="s">
        <v>224</v>
      </c>
      <c r="C18" s="79" t="s">
        <v>71</v>
      </c>
      <c r="D18" s="78" t="s">
        <v>73</v>
      </c>
      <c r="E18" s="80">
        <v>18.7</v>
      </c>
      <c r="F18" s="98">
        <f t="shared" si="0"/>
        <v>14</v>
      </c>
      <c r="G18" s="86"/>
      <c r="H18" s="98">
        <f t="shared" si="1"/>
        <v>0</v>
      </c>
      <c r="I18" s="82">
        <v>2.21</v>
      </c>
      <c r="J18" s="99">
        <f>IF(I18="NJ",0,IF(I18&lt;'Scoring Tables'!$S$4,0,VLOOKUP(I18,T_Long,11,TRUE)))</f>
        <v>11</v>
      </c>
      <c r="K18" s="83">
        <v>4.97</v>
      </c>
      <c r="L18" s="99">
        <f>IF(K18="NT",0,IF(K18&lt;'Scoring Tables'!$X$14,0,VLOOKUP(K18,T_Javlin,6,TRUE)))</f>
        <v>12</v>
      </c>
      <c r="M18" s="100">
        <f>(LARGE((F18,H18),1)+J18+L18)</f>
        <v>37</v>
      </c>
      <c r="N18" s="101" t="str">
        <f t="shared" si="2"/>
        <v>11B</v>
      </c>
      <c r="O18" s="101" t="str">
        <f t="shared" si="3"/>
        <v>1*</v>
      </c>
      <c r="P18" s="102">
        <f t="shared" si="4"/>
        <v>0</v>
      </c>
      <c r="Q18" s="103">
        <f t="shared" si="5"/>
        <v>0</v>
      </c>
      <c r="AD18" s="149">
        <f t="shared" si="8"/>
        <v>37</v>
      </c>
      <c r="AE18" s="150">
        <f t="shared" si="9"/>
        <v>0</v>
      </c>
      <c r="AF18" s="149">
        <f t="shared" si="6"/>
        <v>37</v>
      </c>
      <c r="AG18" s="151">
        <f t="shared" si="11"/>
        <v>0</v>
      </c>
      <c r="AH18" s="151">
        <f t="shared" si="11"/>
        <v>0</v>
      </c>
      <c r="AI18" s="151">
        <f t="shared" si="11"/>
        <v>0</v>
      </c>
      <c r="AJ18" s="151">
        <f t="shared" si="11"/>
        <v>0</v>
      </c>
      <c r="AK18" s="151">
        <f t="shared" si="11"/>
        <v>0</v>
      </c>
      <c r="AL18" s="151">
        <f t="shared" si="11"/>
        <v>0</v>
      </c>
      <c r="AM18" s="151">
        <f t="shared" si="11"/>
        <v>0</v>
      </c>
      <c r="AN18" s="151">
        <f t="shared" si="11"/>
        <v>0</v>
      </c>
      <c r="AO18" s="151">
        <f t="shared" si="11"/>
        <v>0</v>
      </c>
      <c r="AP18" s="151">
        <f t="shared" si="11"/>
        <v>0</v>
      </c>
      <c r="AQ18" s="151">
        <f t="shared" si="11"/>
        <v>0</v>
      </c>
      <c r="AR18" s="151">
        <f t="shared" si="11"/>
        <v>0</v>
      </c>
      <c r="AS18" s="151">
        <f t="shared" si="11"/>
        <v>0</v>
      </c>
      <c r="AT18" s="151">
        <f t="shared" si="11"/>
        <v>0</v>
      </c>
      <c r="AU18" s="151">
        <f t="shared" si="11"/>
        <v>0</v>
      </c>
      <c r="AV18" s="151">
        <f t="shared" si="11"/>
        <v>0</v>
      </c>
      <c r="AW18" s="151">
        <f t="shared" si="11"/>
        <v>0</v>
      </c>
      <c r="AX18" s="151">
        <f t="shared" si="11"/>
        <v>0</v>
      </c>
      <c r="AY18" s="151">
        <f t="shared" si="11"/>
        <v>0</v>
      </c>
      <c r="AZ18" s="150">
        <f t="shared" si="11"/>
        <v>0</v>
      </c>
    </row>
    <row r="19" spans="1:52" s="85" customFormat="1" ht="12.75">
      <c r="A19" s="77">
        <v>106</v>
      </c>
      <c r="B19" s="78" t="s">
        <v>225</v>
      </c>
      <c r="C19" s="79" t="s">
        <v>71</v>
      </c>
      <c r="D19" s="78" t="s">
        <v>73</v>
      </c>
      <c r="E19" s="80">
        <v>15.7</v>
      </c>
      <c r="F19" s="98">
        <f t="shared" si="0"/>
        <v>44</v>
      </c>
      <c r="G19" s="86"/>
      <c r="H19" s="98">
        <f t="shared" si="1"/>
        <v>0</v>
      </c>
      <c r="I19" s="82">
        <v>2.65</v>
      </c>
      <c r="J19" s="99">
        <f>IF(I19="NJ",0,IF(I19&lt;'Scoring Tables'!$S$4,0,VLOOKUP(I19,T_Long,11,TRUE)))</f>
        <v>26</v>
      </c>
      <c r="K19" s="83">
        <v>9.18</v>
      </c>
      <c r="L19" s="99">
        <f>IF(K19="NT",0,IF(K19&lt;'Scoring Tables'!$X$14,0,VLOOKUP(K19,T_Javlin,6,TRUE)))</f>
        <v>21</v>
      </c>
      <c r="M19" s="100">
        <f>(LARGE((F19,H19),1)+J19+L19)</f>
        <v>91</v>
      </c>
      <c r="N19" s="101" t="str">
        <f t="shared" si="2"/>
        <v>7B</v>
      </c>
      <c r="O19" s="101" t="str">
        <f t="shared" si="3"/>
        <v>3*</v>
      </c>
      <c r="P19" s="102">
        <f t="shared" si="4"/>
        <v>0</v>
      </c>
      <c r="Q19" s="103">
        <f t="shared" si="5"/>
        <v>0</v>
      </c>
      <c r="AD19" s="149">
        <f t="shared" si="8"/>
        <v>91</v>
      </c>
      <c r="AE19" s="150">
        <f t="shared" si="9"/>
        <v>0</v>
      </c>
      <c r="AF19" s="149">
        <f t="shared" si="6"/>
        <v>91</v>
      </c>
      <c r="AG19" s="151">
        <f t="shared" si="11"/>
        <v>0</v>
      </c>
      <c r="AH19" s="151">
        <f t="shared" si="11"/>
        <v>0</v>
      </c>
      <c r="AI19" s="151">
        <f t="shared" si="11"/>
        <v>0</v>
      </c>
      <c r="AJ19" s="151">
        <f t="shared" si="11"/>
        <v>0</v>
      </c>
      <c r="AK19" s="151">
        <f t="shared" si="11"/>
        <v>0</v>
      </c>
      <c r="AL19" s="151">
        <f t="shared" si="11"/>
        <v>0</v>
      </c>
      <c r="AM19" s="151">
        <f t="shared" si="11"/>
        <v>0</v>
      </c>
      <c r="AN19" s="151">
        <f t="shared" si="11"/>
        <v>0</v>
      </c>
      <c r="AO19" s="151">
        <f t="shared" si="11"/>
        <v>0</v>
      </c>
      <c r="AP19" s="151">
        <f t="shared" si="11"/>
        <v>0</v>
      </c>
      <c r="AQ19" s="151">
        <f t="shared" si="11"/>
        <v>0</v>
      </c>
      <c r="AR19" s="151">
        <f t="shared" si="11"/>
        <v>0</v>
      </c>
      <c r="AS19" s="151">
        <f t="shared" si="11"/>
        <v>0</v>
      </c>
      <c r="AT19" s="151">
        <f t="shared" si="11"/>
        <v>0</v>
      </c>
      <c r="AU19" s="151">
        <f t="shared" si="11"/>
        <v>0</v>
      </c>
      <c r="AV19" s="151">
        <f t="shared" si="11"/>
        <v>0</v>
      </c>
      <c r="AW19" s="151">
        <f t="shared" si="11"/>
        <v>0</v>
      </c>
      <c r="AX19" s="151">
        <f t="shared" si="11"/>
        <v>0</v>
      </c>
      <c r="AY19" s="151">
        <f t="shared" si="11"/>
        <v>0</v>
      </c>
      <c r="AZ19" s="150">
        <f t="shared" si="11"/>
        <v>0</v>
      </c>
    </row>
    <row r="20" spans="1:52" s="85" customFormat="1" ht="12.75">
      <c r="A20" s="77"/>
      <c r="B20" s="78"/>
      <c r="C20" s="79"/>
      <c r="D20" s="78"/>
      <c r="E20" s="80"/>
      <c r="F20" s="98">
        <f t="shared" si="0"/>
        <v>0</v>
      </c>
      <c r="G20" s="86"/>
      <c r="H20" s="98">
        <f t="shared" si="1"/>
        <v>0</v>
      </c>
      <c r="I20" s="82"/>
      <c r="J20" s="99">
        <f>IF(I20="NJ",0,IF(I20&lt;'Scoring Tables'!$S$4,0,VLOOKUP(I20,T_Long,11,TRUE)))</f>
        <v>0</v>
      </c>
      <c r="K20" s="83"/>
      <c r="L20" s="99">
        <f>IF(K20="NT",0,IF(K20&lt;'Scoring Tables'!$X$14,0,VLOOKUP(K20,T_Javlin,6,TRUE)))</f>
        <v>0</v>
      </c>
      <c r="M20" s="100">
        <f>(LARGE((F20,H20),1)+J20+L20)</f>
        <v>0</v>
      </c>
      <c r="N20" s="101">
        <f t="shared" si="2"/>
      </c>
      <c r="O20" s="101">
        <f aca="true" t="shared" si="12" ref="O20:O51">IF(M20&lt;15,"",HLOOKUP(M20,T_U11G_3_Events,3))</f>
      </c>
      <c r="P20" s="102">
        <f t="shared" si="4"/>
        <v>0</v>
      </c>
      <c r="Q20" s="103">
        <f t="shared" si="5"/>
        <v>0</v>
      </c>
      <c r="AD20" s="149">
        <f t="shared" si="8"/>
        <v>0</v>
      </c>
      <c r="AE20" s="150">
        <f t="shared" si="9"/>
        <v>0</v>
      </c>
      <c r="AF20" s="149">
        <f t="shared" si="6"/>
        <v>0</v>
      </c>
      <c r="AG20" s="151">
        <f t="shared" si="11"/>
        <v>0</v>
      </c>
      <c r="AH20" s="151">
        <f t="shared" si="11"/>
        <v>0</v>
      </c>
      <c r="AI20" s="151">
        <f t="shared" si="11"/>
        <v>0</v>
      </c>
      <c r="AJ20" s="151">
        <f t="shared" si="11"/>
        <v>0</v>
      </c>
      <c r="AK20" s="151">
        <f t="shared" si="11"/>
        <v>0</v>
      </c>
      <c r="AL20" s="151">
        <f t="shared" si="11"/>
        <v>0</v>
      </c>
      <c r="AM20" s="151">
        <f t="shared" si="11"/>
        <v>0</v>
      </c>
      <c r="AN20" s="151">
        <f t="shared" si="11"/>
        <v>0</v>
      </c>
      <c r="AO20" s="151">
        <f t="shared" si="11"/>
        <v>0</v>
      </c>
      <c r="AP20" s="151">
        <f t="shared" si="11"/>
        <v>0</v>
      </c>
      <c r="AQ20" s="151">
        <f t="shared" si="11"/>
        <v>0</v>
      </c>
      <c r="AR20" s="151">
        <f t="shared" si="11"/>
        <v>0</v>
      </c>
      <c r="AS20" s="151">
        <f t="shared" si="11"/>
        <v>0</v>
      </c>
      <c r="AT20" s="151">
        <f t="shared" si="11"/>
        <v>0</v>
      </c>
      <c r="AU20" s="151">
        <f t="shared" si="11"/>
        <v>0</v>
      </c>
      <c r="AV20" s="151">
        <f t="shared" si="11"/>
        <v>0</v>
      </c>
      <c r="AW20" s="151">
        <f t="shared" si="11"/>
        <v>0</v>
      </c>
      <c r="AX20" s="151">
        <f t="shared" si="11"/>
        <v>0</v>
      </c>
      <c r="AY20" s="151">
        <f t="shared" si="11"/>
        <v>0</v>
      </c>
      <c r="AZ20" s="150">
        <f t="shared" si="11"/>
        <v>0</v>
      </c>
    </row>
    <row r="21" spans="1:52" s="85" customFormat="1" ht="12.75">
      <c r="A21" s="77"/>
      <c r="B21" s="78"/>
      <c r="C21" s="79"/>
      <c r="D21" s="78"/>
      <c r="E21" s="80"/>
      <c r="F21" s="98">
        <f t="shared" si="0"/>
        <v>0</v>
      </c>
      <c r="G21" s="86"/>
      <c r="H21" s="98">
        <f t="shared" si="1"/>
        <v>0</v>
      </c>
      <c r="I21" s="82"/>
      <c r="J21" s="99">
        <f>IF(I21="NJ",0,IF(I21&lt;'Scoring Tables'!$S$4,0,VLOOKUP(I21,T_Long,11,TRUE)))</f>
        <v>0</v>
      </c>
      <c r="K21" s="83"/>
      <c r="L21" s="99">
        <f>IF(K21="NT",0,IF(K21&lt;'Scoring Tables'!$X$14,0,VLOOKUP(K21,T_Javlin,6,TRUE)))</f>
        <v>0</v>
      </c>
      <c r="M21" s="100">
        <f>(LARGE((F21,H21),1)+J21+L21)</f>
        <v>0</v>
      </c>
      <c r="N21" s="101">
        <f t="shared" si="2"/>
      </c>
      <c r="O21" s="101">
        <f t="shared" si="12"/>
      </c>
      <c r="P21" s="102">
        <f t="shared" si="4"/>
        <v>0</v>
      </c>
      <c r="Q21" s="103">
        <f t="shared" si="5"/>
        <v>0</v>
      </c>
      <c r="AD21" s="149">
        <f t="shared" si="8"/>
        <v>0</v>
      </c>
      <c r="AE21" s="150">
        <f t="shared" si="9"/>
        <v>0</v>
      </c>
      <c r="AF21" s="149">
        <f t="shared" si="6"/>
        <v>0</v>
      </c>
      <c r="AG21" s="151">
        <f t="shared" si="11"/>
        <v>0</v>
      </c>
      <c r="AH21" s="151">
        <f t="shared" si="11"/>
        <v>0</v>
      </c>
      <c r="AI21" s="151">
        <f t="shared" si="11"/>
        <v>0</v>
      </c>
      <c r="AJ21" s="151">
        <f t="shared" si="11"/>
        <v>0</v>
      </c>
      <c r="AK21" s="151">
        <f t="shared" si="11"/>
        <v>0</v>
      </c>
      <c r="AL21" s="151">
        <f t="shared" si="11"/>
        <v>0</v>
      </c>
      <c r="AM21" s="151">
        <f t="shared" si="11"/>
        <v>0</v>
      </c>
      <c r="AN21" s="151">
        <f t="shared" si="11"/>
        <v>0</v>
      </c>
      <c r="AO21" s="151">
        <f t="shared" si="11"/>
        <v>0</v>
      </c>
      <c r="AP21" s="151">
        <f t="shared" si="11"/>
        <v>0</v>
      </c>
      <c r="AQ21" s="151">
        <f t="shared" si="11"/>
        <v>0</v>
      </c>
      <c r="AR21" s="151">
        <f t="shared" si="11"/>
        <v>0</v>
      </c>
      <c r="AS21" s="151">
        <f t="shared" si="11"/>
        <v>0</v>
      </c>
      <c r="AT21" s="151">
        <f t="shared" si="11"/>
        <v>0</v>
      </c>
      <c r="AU21" s="151">
        <f t="shared" si="11"/>
        <v>0</v>
      </c>
      <c r="AV21" s="151">
        <f t="shared" si="11"/>
        <v>0</v>
      </c>
      <c r="AW21" s="151">
        <f t="shared" si="11"/>
        <v>0</v>
      </c>
      <c r="AX21" s="151">
        <f t="shared" si="11"/>
        <v>0</v>
      </c>
      <c r="AY21" s="151">
        <f t="shared" si="11"/>
        <v>0</v>
      </c>
      <c r="AZ21" s="150">
        <f t="shared" si="11"/>
        <v>0</v>
      </c>
    </row>
    <row r="22" spans="1:52" s="85" customFormat="1" ht="12.75">
      <c r="A22" s="77"/>
      <c r="B22" s="88"/>
      <c r="C22" s="79"/>
      <c r="D22" s="78"/>
      <c r="E22" s="80"/>
      <c r="F22" s="98">
        <f t="shared" si="0"/>
        <v>0</v>
      </c>
      <c r="G22" s="86"/>
      <c r="H22" s="98">
        <f t="shared" si="1"/>
        <v>0</v>
      </c>
      <c r="I22" s="82"/>
      <c r="J22" s="99">
        <f>IF(I22="NJ",0,IF(I22&lt;'Scoring Tables'!$S$4,0,VLOOKUP(I22,T_Long,11,TRUE)))</f>
        <v>0</v>
      </c>
      <c r="K22" s="83"/>
      <c r="L22" s="99">
        <f>IF(K22="NT",0,IF(K22&lt;'Scoring Tables'!$X$14,0,VLOOKUP(K22,T_Javlin,6,TRUE)))</f>
        <v>0</v>
      </c>
      <c r="M22" s="100">
        <f>(LARGE((F22,H22),1)+J22+L22)</f>
        <v>0</v>
      </c>
      <c r="N22" s="101">
        <f t="shared" si="2"/>
      </c>
      <c r="O22" s="101">
        <f t="shared" si="12"/>
      </c>
      <c r="P22" s="102">
        <f t="shared" si="4"/>
        <v>0</v>
      </c>
      <c r="Q22" s="103">
        <f t="shared" si="5"/>
        <v>0</v>
      </c>
      <c r="AD22" s="149">
        <f t="shared" si="8"/>
        <v>0</v>
      </c>
      <c r="AE22" s="150">
        <f t="shared" si="9"/>
        <v>0</v>
      </c>
      <c r="AF22" s="149">
        <f t="shared" si="6"/>
        <v>0</v>
      </c>
      <c r="AG22" s="151">
        <f t="shared" si="11"/>
        <v>0</v>
      </c>
      <c r="AH22" s="151">
        <f t="shared" si="11"/>
        <v>0</v>
      </c>
      <c r="AI22" s="151">
        <f t="shared" si="11"/>
        <v>0</v>
      </c>
      <c r="AJ22" s="151">
        <f t="shared" si="11"/>
        <v>0</v>
      </c>
      <c r="AK22" s="151">
        <f t="shared" si="11"/>
        <v>0</v>
      </c>
      <c r="AL22" s="151">
        <f t="shared" si="11"/>
        <v>0</v>
      </c>
      <c r="AM22" s="151">
        <f t="shared" si="11"/>
        <v>0</v>
      </c>
      <c r="AN22" s="151">
        <f t="shared" si="11"/>
        <v>0</v>
      </c>
      <c r="AO22" s="151">
        <f t="shared" si="11"/>
        <v>0</v>
      </c>
      <c r="AP22" s="151">
        <f t="shared" si="11"/>
        <v>0</v>
      </c>
      <c r="AQ22" s="151">
        <f t="shared" si="11"/>
        <v>0</v>
      </c>
      <c r="AR22" s="151">
        <f t="shared" si="11"/>
        <v>0</v>
      </c>
      <c r="AS22" s="151">
        <f t="shared" si="11"/>
        <v>0</v>
      </c>
      <c r="AT22" s="151">
        <f t="shared" si="11"/>
        <v>0</v>
      </c>
      <c r="AU22" s="151">
        <f t="shared" si="11"/>
        <v>0</v>
      </c>
      <c r="AV22" s="151">
        <f t="shared" si="11"/>
        <v>0</v>
      </c>
      <c r="AW22" s="151">
        <f t="shared" si="11"/>
        <v>0</v>
      </c>
      <c r="AX22" s="151">
        <f t="shared" si="11"/>
        <v>0</v>
      </c>
      <c r="AY22" s="151">
        <f t="shared" si="11"/>
        <v>0</v>
      </c>
      <c r="AZ22" s="150">
        <f t="shared" si="11"/>
        <v>0</v>
      </c>
    </row>
    <row r="23" spans="1:52" s="85" customFormat="1" ht="12.75">
      <c r="A23" s="77"/>
      <c r="B23" s="78"/>
      <c r="C23" s="89"/>
      <c r="D23" s="78"/>
      <c r="E23" s="80"/>
      <c r="F23" s="98">
        <f t="shared" si="0"/>
        <v>0</v>
      </c>
      <c r="G23" s="86"/>
      <c r="H23" s="98">
        <f t="shared" si="1"/>
        <v>0</v>
      </c>
      <c r="I23" s="82"/>
      <c r="J23" s="99">
        <f>IF(I23="NJ",0,IF(I23&lt;'Scoring Tables'!$S$4,0,VLOOKUP(I23,T_Long,11,TRUE)))</f>
        <v>0</v>
      </c>
      <c r="K23" s="83"/>
      <c r="L23" s="99">
        <f>IF(K23="NT",0,IF(K23&lt;'Scoring Tables'!$X$14,0,VLOOKUP(K23,T_Javlin,6,TRUE)))</f>
        <v>0</v>
      </c>
      <c r="M23" s="100">
        <f>(LARGE((F23,H23),1)+J23+L23)</f>
        <v>0</v>
      </c>
      <c r="N23" s="101">
        <f t="shared" si="2"/>
      </c>
      <c r="O23" s="101">
        <f t="shared" si="12"/>
      </c>
      <c r="P23" s="102">
        <f t="shared" si="4"/>
        <v>0</v>
      </c>
      <c r="Q23" s="103">
        <f t="shared" si="5"/>
        <v>0</v>
      </c>
      <c r="AD23" s="149">
        <f t="shared" si="8"/>
        <v>0</v>
      </c>
      <c r="AE23" s="150">
        <f t="shared" si="9"/>
        <v>0</v>
      </c>
      <c r="AF23" s="149">
        <f t="shared" si="6"/>
        <v>0</v>
      </c>
      <c r="AG23" s="151">
        <f t="shared" si="11"/>
        <v>0</v>
      </c>
      <c r="AH23" s="151">
        <f t="shared" si="11"/>
        <v>0</v>
      </c>
      <c r="AI23" s="151">
        <f t="shared" si="11"/>
        <v>0</v>
      </c>
      <c r="AJ23" s="151">
        <f t="shared" si="11"/>
        <v>0</v>
      </c>
      <c r="AK23" s="151">
        <f t="shared" si="11"/>
        <v>0</v>
      </c>
      <c r="AL23" s="151">
        <f t="shared" si="11"/>
        <v>0</v>
      </c>
      <c r="AM23" s="151">
        <f t="shared" si="11"/>
        <v>0</v>
      </c>
      <c r="AN23" s="151">
        <f t="shared" si="11"/>
        <v>0</v>
      </c>
      <c r="AO23" s="151">
        <f t="shared" si="11"/>
        <v>0</v>
      </c>
      <c r="AP23" s="151">
        <f t="shared" si="11"/>
        <v>0</v>
      </c>
      <c r="AQ23" s="151">
        <f t="shared" si="11"/>
        <v>0</v>
      </c>
      <c r="AR23" s="151">
        <f t="shared" si="11"/>
        <v>0</v>
      </c>
      <c r="AS23" s="151">
        <f t="shared" si="11"/>
        <v>0</v>
      </c>
      <c r="AT23" s="151">
        <f t="shared" si="11"/>
        <v>0</v>
      </c>
      <c r="AU23" s="151">
        <f t="shared" si="11"/>
        <v>0</v>
      </c>
      <c r="AV23" s="151">
        <f t="shared" si="11"/>
        <v>0</v>
      </c>
      <c r="AW23" s="151">
        <f t="shared" si="11"/>
        <v>0</v>
      </c>
      <c r="AX23" s="151">
        <f t="shared" si="11"/>
        <v>0</v>
      </c>
      <c r="AY23" s="151">
        <f t="shared" si="11"/>
        <v>0</v>
      </c>
      <c r="AZ23" s="150">
        <f t="shared" si="11"/>
        <v>0</v>
      </c>
    </row>
    <row r="24" spans="1:52" s="85" customFormat="1" ht="12.75">
      <c r="A24" s="77"/>
      <c r="B24" s="78"/>
      <c r="C24" s="89"/>
      <c r="D24" s="78"/>
      <c r="E24" s="80"/>
      <c r="F24" s="98">
        <f t="shared" si="0"/>
        <v>0</v>
      </c>
      <c r="G24" s="86"/>
      <c r="H24" s="98">
        <f t="shared" si="1"/>
        <v>0</v>
      </c>
      <c r="I24" s="82"/>
      <c r="J24" s="99">
        <f>IF(I24="NJ",0,IF(I24&lt;'Scoring Tables'!$S$4,0,VLOOKUP(I24,T_Long,11,TRUE)))</f>
        <v>0</v>
      </c>
      <c r="K24" s="83"/>
      <c r="L24" s="99">
        <f>IF(K24="NT",0,IF(K24&lt;'Scoring Tables'!$X$14,0,VLOOKUP(K24,T_Javlin,6,TRUE)))</f>
        <v>0</v>
      </c>
      <c r="M24" s="100">
        <f>(LARGE((F24,H24),1)+J24+L24)</f>
        <v>0</v>
      </c>
      <c r="N24" s="101">
        <f t="shared" si="2"/>
      </c>
      <c r="O24" s="101">
        <f t="shared" si="12"/>
      </c>
      <c r="P24" s="102">
        <f t="shared" si="4"/>
        <v>0</v>
      </c>
      <c r="Q24" s="103">
        <f t="shared" si="5"/>
        <v>0</v>
      </c>
      <c r="AD24" s="149">
        <f t="shared" si="8"/>
        <v>0</v>
      </c>
      <c r="AE24" s="150">
        <f t="shared" si="9"/>
        <v>0</v>
      </c>
      <c r="AF24" s="149">
        <f t="shared" si="6"/>
        <v>0</v>
      </c>
      <c r="AG24" s="151">
        <f t="shared" si="11"/>
        <v>0</v>
      </c>
      <c r="AH24" s="151">
        <f t="shared" si="11"/>
        <v>0</v>
      </c>
      <c r="AI24" s="151">
        <f t="shared" si="11"/>
        <v>0</v>
      </c>
      <c r="AJ24" s="151">
        <f t="shared" si="11"/>
        <v>0</v>
      </c>
      <c r="AK24" s="151">
        <f t="shared" si="11"/>
        <v>0</v>
      </c>
      <c r="AL24" s="151">
        <f t="shared" si="11"/>
        <v>0</v>
      </c>
      <c r="AM24" s="151">
        <f t="shared" si="11"/>
        <v>0</v>
      </c>
      <c r="AN24" s="151">
        <f t="shared" si="11"/>
        <v>0</v>
      </c>
      <c r="AO24" s="151">
        <f t="shared" si="11"/>
        <v>0</v>
      </c>
      <c r="AP24" s="151">
        <f t="shared" si="11"/>
        <v>0</v>
      </c>
      <c r="AQ24" s="151">
        <f t="shared" si="11"/>
        <v>0</v>
      </c>
      <c r="AR24" s="151">
        <f t="shared" si="11"/>
        <v>0</v>
      </c>
      <c r="AS24" s="151">
        <f t="shared" si="11"/>
        <v>0</v>
      </c>
      <c r="AT24" s="151">
        <f t="shared" si="11"/>
        <v>0</v>
      </c>
      <c r="AU24" s="151">
        <f t="shared" si="11"/>
        <v>0</v>
      </c>
      <c r="AV24" s="151">
        <f t="shared" si="11"/>
        <v>0</v>
      </c>
      <c r="AW24" s="151">
        <f t="shared" si="11"/>
        <v>0</v>
      </c>
      <c r="AX24" s="151">
        <f t="shared" si="11"/>
        <v>0</v>
      </c>
      <c r="AY24" s="151">
        <f t="shared" si="11"/>
        <v>0</v>
      </c>
      <c r="AZ24" s="150">
        <f t="shared" si="11"/>
        <v>0</v>
      </c>
    </row>
    <row r="25" spans="1:52" s="85" customFormat="1" ht="12.75">
      <c r="A25" s="77"/>
      <c r="B25" s="78"/>
      <c r="C25" s="89"/>
      <c r="D25" s="78"/>
      <c r="E25" s="80"/>
      <c r="F25" s="98">
        <f t="shared" si="0"/>
        <v>0</v>
      </c>
      <c r="G25" s="86"/>
      <c r="H25" s="98">
        <f t="shared" si="1"/>
        <v>0</v>
      </c>
      <c r="I25" s="82"/>
      <c r="J25" s="99">
        <f>IF(I25="NJ",0,IF(I25&lt;'Scoring Tables'!$S$4,0,VLOOKUP(I25,T_Long,11,TRUE)))</f>
        <v>0</v>
      </c>
      <c r="K25" s="83"/>
      <c r="L25" s="99">
        <f>IF(K25="NT",0,IF(K25&lt;'Scoring Tables'!$X$14,0,VLOOKUP(K25,T_Javlin,6,TRUE)))</f>
        <v>0</v>
      </c>
      <c r="M25" s="100">
        <f>(LARGE((F25,H25),1)+J25+L25)</f>
        <v>0</v>
      </c>
      <c r="N25" s="101">
        <f t="shared" si="2"/>
      </c>
      <c r="O25" s="101">
        <f t="shared" si="12"/>
      </c>
      <c r="P25" s="102">
        <f t="shared" si="4"/>
        <v>0</v>
      </c>
      <c r="Q25" s="103">
        <f t="shared" si="5"/>
        <v>0</v>
      </c>
      <c r="AD25" s="149">
        <f t="shared" si="8"/>
        <v>0</v>
      </c>
      <c r="AE25" s="150">
        <f t="shared" si="9"/>
        <v>0</v>
      </c>
      <c r="AF25" s="149">
        <f t="shared" si="6"/>
        <v>0</v>
      </c>
      <c r="AG25" s="151">
        <f t="shared" si="11"/>
        <v>0</v>
      </c>
      <c r="AH25" s="151">
        <f t="shared" si="11"/>
        <v>0</v>
      </c>
      <c r="AI25" s="151">
        <f t="shared" si="11"/>
        <v>0</v>
      </c>
      <c r="AJ25" s="151">
        <f aca="true" t="shared" si="13" ref="AG25:AZ33">IF($D25=AJ$1,$M25,0)</f>
        <v>0</v>
      </c>
      <c r="AK25" s="151">
        <f t="shared" si="13"/>
        <v>0</v>
      </c>
      <c r="AL25" s="151">
        <f t="shared" si="13"/>
        <v>0</v>
      </c>
      <c r="AM25" s="151">
        <f t="shared" si="13"/>
        <v>0</v>
      </c>
      <c r="AN25" s="151">
        <f t="shared" si="13"/>
        <v>0</v>
      </c>
      <c r="AO25" s="151">
        <f t="shared" si="13"/>
        <v>0</v>
      </c>
      <c r="AP25" s="151">
        <f t="shared" si="13"/>
        <v>0</v>
      </c>
      <c r="AQ25" s="151">
        <f t="shared" si="13"/>
        <v>0</v>
      </c>
      <c r="AR25" s="151">
        <f t="shared" si="13"/>
        <v>0</v>
      </c>
      <c r="AS25" s="151">
        <f t="shared" si="13"/>
        <v>0</v>
      </c>
      <c r="AT25" s="151">
        <f t="shared" si="13"/>
        <v>0</v>
      </c>
      <c r="AU25" s="151">
        <f t="shared" si="13"/>
        <v>0</v>
      </c>
      <c r="AV25" s="151">
        <f t="shared" si="13"/>
        <v>0</v>
      </c>
      <c r="AW25" s="151">
        <f t="shared" si="13"/>
        <v>0</v>
      </c>
      <c r="AX25" s="151">
        <f t="shared" si="13"/>
        <v>0</v>
      </c>
      <c r="AY25" s="151">
        <f t="shared" si="13"/>
        <v>0</v>
      </c>
      <c r="AZ25" s="150">
        <f t="shared" si="13"/>
        <v>0</v>
      </c>
    </row>
    <row r="26" spans="1:52" s="85" customFormat="1" ht="12.75">
      <c r="A26" s="77"/>
      <c r="B26" s="78"/>
      <c r="C26" s="89"/>
      <c r="D26" s="78"/>
      <c r="E26" s="80"/>
      <c r="F26" s="98">
        <f t="shared" si="0"/>
        <v>0</v>
      </c>
      <c r="G26" s="86"/>
      <c r="H26" s="98">
        <f t="shared" si="1"/>
        <v>0</v>
      </c>
      <c r="I26" s="82"/>
      <c r="J26" s="99">
        <f>IF(I26="NJ",0,IF(I26&lt;'Scoring Tables'!$S$4,0,VLOOKUP(I26,T_Long,11,TRUE)))</f>
        <v>0</v>
      </c>
      <c r="K26" s="83"/>
      <c r="L26" s="99">
        <f>IF(K26="NT",0,IF(K26&lt;'Scoring Tables'!$X$14,0,VLOOKUP(K26,T_Javlin,6,TRUE)))</f>
        <v>0</v>
      </c>
      <c r="M26" s="100">
        <f>(LARGE((F26,H26),1)+J26+L26)</f>
        <v>0</v>
      </c>
      <c r="N26" s="101">
        <f t="shared" si="2"/>
      </c>
      <c r="O26" s="101">
        <f t="shared" si="12"/>
      </c>
      <c r="P26" s="102">
        <f t="shared" si="4"/>
        <v>0</v>
      </c>
      <c r="Q26" s="103">
        <f t="shared" si="5"/>
        <v>0</v>
      </c>
      <c r="AD26" s="149">
        <f t="shared" si="8"/>
        <v>0</v>
      </c>
      <c r="AE26" s="150">
        <f t="shared" si="9"/>
        <v>0</v>
      </c>
      <c r="AF26" s="149">
        <f t="shared" si="6"/>
        <v>0</v>
      </c>
      <c r="AG26" s="151">
        <f t="shared" si="13"/>
        <v>0</v>
      </c>
      <c r="AH26" s="151">
        <f t="shared" si="13"/>
        <v>0</v>
      </c>
      <c r="AI26" s="151">
        <f t="shared" si="13"/>
        <v>0</v>
      </c>
      <c r="AJ26" s="151">
        <f t="shared" si="13"/>
        <v>0</v>
      </c>
      <c r="AK26" s="151">
        <f t="shared" si="13"/>
        <v>0</v>
      </c>
      <c r="AL26" s="151">
        <f t="shared" si="13"/>
        <v>0</v>
      </c>
      <c r="AM26" s="151">
        <f t="shared" si="13"/>
        <v>0</v>
      </c>
      <c r="AN26" s="151">
        <f t="shared" si="13"/>
        <v>0</v>
      </c>
      <c r="AO26" s="151">
        <f t="shared" si="13"/>
        <v>0</v>
      </c>
      <c r="AP26" s="151">
        <f t="shared" si="13"/>
        <v>0</v>
      </c>
      <c r="AQ26" s="151">
        <f t="shared" si="13"/>
        <v>0</v>
      </c>
      <c r="AR26" s="151">
        <f t="shared" si="13"/>
        <v>0</v>
      </c>
      <c r="AS26" s="151">
        <f t="shared" si="13"/>
        <v>0</v>
      </c>
      <c r="AT26" s="151">
        <f t="shared" si="13"/>
        <v>0</v>
      </c>
      <c r="AU26" s="151">
        <f t="shared" si="13"/>
        <v>0</v>
      </c>
      <c r="AV26" s="151">
        <f t="shared" si="13"/>
        <v>0</v>
      </c>
      <c r="AW26" s="151">
        <f t="shared" si="13"/>
        <v>0</v>
      </c>
      <c r="AX26" s="151">
        <f t="shared" si="13"/>
        <v>0</v>
      </c>
      <c r="AY26" s="151">
        <f t="shared" si="13"/>
        <v>0</v>
      </c>
      <c r="AZ26" s="150">
        <f t="shared" si="13"/>
        <v>0</v>
      </c>
    </row>
    <row r="27" spans="1:52" s="85" customFormat="1" ht="12.75">
      <c r="A27" s="77"/>
      <c r="B27" s="78"/>
      <c r="C27" s="89"/>
      <c r="D27" s="78"/>
      <c r="E27" s="80"/>
      <c r="F27" s="98">
        <f t="shared" si="0"/>
        <v>0</v>
      </c>
      <c r="G27" s="86"/>
      <c r="H27" s="98">
        <f t="shared" si="1"/>
        <v>0</v>
      </c>
      <c r="I27" s="82"/>
      <c r="J27" s="99">
        <f>IF(I27="NJ",0,IF(I27&lt;'Scoring Tables'!$S$4,0,VLOOKUP(I27,T_Long,11,TRUE)))</f>
        <v>0</v>
      </c>
      <c r="K27" s="83"/>
      <c r="L27" s="99">
        <f>IF(K27="NT",0,IF(K27&lt;'Scoring Tables'!$X$14,0,VLOOKUP(K27,T_Javlin,6,TRUE)))</f>
        <v>0</v>
      </c>
      <c r="M27" s="100">
        <f>(LARGE((F27,H27),1)+J27+L27)</f>
        <v>0</v>
      </c>
      <c r="N27" s="101">
        <f t="shared" si="2"/>
      </c>
      <c r="O27" s="101">
        <f t="shared" si="12"/>
      </c>
      <c r="P27" s="102">
        <f t="shared" si="4"/>
        <v>0</v>
      </c>
      <c r="Q27" s="103">
        <f t="shared" si="5"/>
        <v>0</v>
      </c>
      <c r="AD27" s="149">
        <f t="shared" si="8"/>
        <v>0</v>
      </c>
      <c r="AE27" s="150">
        <f t="shared" si="9"/>
        <v>0</v>
      </c>
      <c r="AF27" s="149">
        <f t="shared" si="6"/>
        <v>0</v>
      </c>
      <c r="AG27" s="151">
        <f t="shared" si="13"/>
        <v>0</v>
      </c>
      <c r="AH27" s="151">
        <f t="shared" si="13"/>
        <v>0</v>
      </c>
      <c r="AI27" s="151">
        <f t="shared" si="13"/>
        <v>0</v>
      </c>
      <c r="AJ27" s="151">
        <f t="shared" si="13"/>
        <v>0</v>
      </c>
      <c r="AK27" s="151">
        <f t="shared" si="13"/>
        <v>0</v>
      </c>
      <c r="AL27" s="151">
        <f t="shared" si="13"/>
        <v>0</v>
      </c>
      <c r="AM27" s="151">
        <f t="shared" si="13"/>
        <v>0</v>
      </c>
      <c r="AN27" s="151">
        <f t="shared" si="13"/>
        <v>0</v>
      </c>
      <c r="AO27" s="151">
        <f t="shared" si="13"/>
        <v>0</v>
      </c>
      <c r="AP27" s="151">
        <f t="shared" si="13"/>
        <v>0</v>
      </c>
      <c r="AQ27" s="151">
        <f t="shared" si="13"/>
        <v>0</v>
      </c>
      <c r="AR27" s="151">
        <f t="shared" si="13"/>
        <v>0</v>
      </c>
      <c r="AS27" s="151">
        <f t="shared" si="13"/>
        <v>0</v>
      </c>
      <c r="AT27" s="151">
        <f t="shared" si="13"/>
        <v>0</v>
      </c>
      <c r="AU27" s="151">
        <f t="shared" si="13"/>
        <v>0</v>
      </c>
      <c r="AV27" s="151">
        <f t="shared" si="13"/>
        <v>0</v>
      </c>
      <c r="AW27" s="151">
        <f t="shared" si="13"/>
        <v>0</v>
      </c>
      <c r="AX27" s="151">
        <f t="shared" si="13"/>
        <v>0</v>
      </c>
      <c r="AY27" s="151">
        <f t="shared" si="13"/>
        <v>0</v>
      </c>
      <c r="AZ27" s="150">
        <f t="shared" si="13"/>
        <v>0</v>
      </c>
    </row>
    <row r="28" spans="1:52" ht="12.75">
      <c r="A28" s="77"/>
      <c r="B28" s="78"/>
      <c r="C28" s="89"/>
      <c r="D28" s="78"/>
      <c r="E28" s="80"/>
      <c r="F28" s="98">
        <f t="shared" si="0"/>
        <v>0</v>
      </c>
      <c r="G28" s="86"/>
      <c r="H28" s="98">
        <f t="shared" si="1"/>
        <v>0</v>
      </c>
      <c r="I28" s="82"/>
      <c r="J28" s="99">
        <f>IF(I28="NJ",0,IF(I28&lt;'Scoring Tables'!$S$4,0,VLOOKUP(I28,T_Long,11,TRUE)))</f>
        <v>0</v>
      </c>
      <c r="K28" s="83"/>
      <c r="L28" s="99">
        <f>IF(K28="NT",0,IF(K28&lt;'Scoring Tables'!$X$14,0,VLOOKUP(K28,T_Javlin,6,TRUE)))</f>
        <v>0</v>
      </c>
      <c r="M28" s="100">
        <f>(LARGE((F28,H28),1)+J28+L28)</f>
        <v>0</v>
      </c>
      <c r="N28" s="101">
        <f t="shared" si="2"/>
      </c>
      <c r="O28" s="101">
        <f t="shared" si="12"/>
      </c>
      <c r="P28" s="102">
        <f t="shared" si="4"/>
        <v>0</v>
      </c>
      <c r="Q28" s="103">
        <f t="shared" si="5"/>
        <v>0</v>
      </c>
      <c r="AD28" s="149">
        <f t="shared" si="8"/>
        <v>0</v>
      </c>
      <c r="AE28" s="150">
        <f t="shared" si="9"/>
        <v>0</v>
      </c>
      <c r="AF28" s="149">
        <f t="shared" si="6"/>
        <v>0</v>
      </c>
      <c r="AG28" s="151">
        <f t="shared" si="13"/>
        <v>0</v>
      </c>
      <c r="AH28" s="151">
        <f t="shared" si="13"/>
        <v>0</v>
      </c>
      <c r="AI28" s="151">
        <f t="shared" si="13"/>
        <v>0</v>
      </c>
      <c r="AJ28" s="151">
        <f t="shared" si="13"/>
        <v>0</v>
      </c>
      <c r="AK28" s="151">
        <f t="shared" si="13"/>
        <v>0</v>
      </c>
      <c r="AL28" s="151">
        <f t="shared" si="13"/>
        <v>0</v>
      </c>
      <c r="AM28" s="151">
        <f t="shared" si="13"/>
        <v>0</v>
      </c>
      <c r="AN28" s="151">
        <f t="shared" si="13"/>
        <v>0</v>
      </c>
      <c r="AO28" s="151">
        <f t="shared" si="13"/>
        <v>0</v>
      </c>
      <c r="AP28" s="151">
        <f t="shared" si="13"/>
        <v>0</v>
      </c>
      <c r="AQ28" s="151">
        <f t="shared" si="13"/>
        <v>0</v>
      </c>
      <c r="AR28" s="151">
        <f t="shared" si="13"/>
        <v>0</v>
      </c>
      <c r="AS28" s="151">
        <f t="shared" si="13"/>
        <v>0</v>
      </c>
      <c r="AT28" s="151">
        <f t="shared" si="13"/>
        <v>0</v>
      </c>
      <c r="AU28" s="151">
        <f t="shared" si="13"/>
        <v>0</v>
      </c>
      <c r="AV28" s="151">
        <f t="shared" si="13"/>
        <v>0</v>
      </c>
      <c r="AW28" s="151">
        <f t="shared" si="13"/>
        <v>0</v>
      </c>
      <c r="AX28" s="151">
        <f t="shared" si="13"/>
        <v>0</v>
      </c>
      <c r="AY28" s="151">
        <f t="shared" si="13"/>
        <v>0</v>
      </c>
      <c r="AZ28" s="150">
        <f t="shared" si="13"/>
        <v>0</v>
      </c>
    </row>
    <row r="29" spans="1:52" ht="12.75">
      <c r="A29" s="77"/>
      <c r="B29" s="78"/>
      <c r="C29" s="89"/>
      <c r="D29" s="78"/>
      <c r="E29" s="80"/>
      <c r="F29" s="98">
        <f t="shared" si="0"/>
        <v>0</v>
      </c>
      <c r="G29" s="86"/>
      <c r="H29" s="98">
        <f t="shared" si="1"/>
        <v>0</v>
      </c>
      <c r="I29" s="82"/>
      <c r="J29" s="99">
        <f>IF(I29="NJ",0,IF(I29&lt;'Scoring Tables'!$S$4,0,VLOOKUP(I29,T_Long,11,TRUE)))</f>
        <v>0</v>
      </c>
      <c r="K29" s="83"/>
      <c r="L29" s="99">
        <f>IF(K29="NT",0,IF(K29&lt;'Scoring Tables'!$X$14,0,VLOOKUP(K29,T_Javlin,6,TRUE)))</f>
        <v>0</v>
      </c>
      <c r="M29" s="100">
        <f>(LARGE((F29,H29),1)+J29+L29)</f>
        <v>0</v>
      </c>
      <c r="N29" s="101">
        <f t="shared" si="2"/>
      </c>
      <c r="O29" s="101">
        <f t="shared" si="12"/>
      </c>
      <c r="P29" s="102">
        <f t="shared" si="4"/>
        <v>0</v>
      </c>
      <c r="Q29" s="103">
        <f t="shared" si="5"/>
        <v>0</v>
      </c>
      <c r="AD29" s="149">
        <f t="shared" si="8"/>
        <v>0</v>
      </c>
      <c r="AE29" s="150">
        <f t="shared" si="9"/>
        <v>0</v>
      </c>
      <c r="AF29" s="149">
        <f t="shared" si="6"/>
        <v>0</v>
      </c>
      <c r="AG29" s="151">
        <f t="shared" si="13"/>
        <v>0</v>
      </c>
      <c r="AH29" s="151">
        <f t="shared" si="13"/>
        <v>0</v>
      </c>
      <c r="AI29" s="151">
        <f t="shared" si="13"/>
        <v>0</v>
      </c>
      <c r="AJ29" s="151">
        <f t="shared" si="13"/>
        <v>0</v>
      </c>
      <c r="AK29" s="151">
        <f t="shared" si="13"/>
        <v>0</v>
      </c>
      <c r="AL29" s="151">
        <f t="shared" si="13"/>
        <v>0</v>
      </c>
      <c r="AM29" s="151">
        <f t="shared" si="13"/>
        <v>0</v>
      </c>
      <c r="AN29" s="151">
        <f t="shared" si="13"/>
        <v>0</v>
      </c>
      <c r="AO29" s="151">
        <f t="shared" si="13"/>
        <v>0</v>
      </c>
      <c r="AP29" s="151">
        <f t="shared" si="13"/>
        <v>0</v>
      </c>
      <c r="AQ29" s="151">
        <f t="shared" si="13"/>
        <v>0</v>
      </c>
      <c r="AR29" s="151">
        <f t="shared" si="13"/>
        <v>0</v>
      </c>
      <c r="AS29" s="151">
        <f t="shared" si="13"/>
        <v>0</v>
      </c>
      <c r="AT29" s="151">
        <f t="shared" si="13"/>
        <v>0</v>
      </c>
      <c r="AU29" s="151">
        <f t="shared" si="13"/>
        <v>0</v>
      </c>
      <c r="AV29" s="151">
        <f t="shared" si="13"/>
        <v>0</v>
      </c>
      <c r="AW29" s="151">
        <f t="shared" si="13"/>
        <v>0</v>
      </c>
      <c r="AX29" s="151">
        <f t="shared" si="13"/>
        <v>0</v>
      </c>
      <c r="AY29" s="151">
        <f t="shared" si="13"/>
        <v>0</v>
      </c>
      <c r="AZ29" s="150">
        <f t="shared" si="13"/>
        <v>0</v>
      </c>
    </row>
    <row r="30" spans="1:52" ht="12.75">
      <c r="A30" s="77"/>
      <c r="B30" s="78"/>
      <c r="C30" s="89"/>
      <c r="D30" s="78"/>
      <c r="E30" s="80"/>
      <c r="F30" s="98">
        <f t="shared" si="0"/>
        <v>0</v>
      </c>
      <c r="G30" s="86"/>
      <c r="H30" s="98">
        <f t="shared" si="1"/>
        <v>0</v>
      </c>
      <c r="I30" s="82"/>
      <c r="J30" s="99">
        <f>IF(I30="NJ",0,IF(I30&lt;'Scoring Tables'!$S$4,0,VLOOKUP(I30,T_Long,11,TRUE)))</f>
        <v>0</v>
      </c>
      <c r="K30" s="83"/>
      <c r="L30" s="99">
        <f>IF(K30="NT",0,IF(K30&lt;'Scoring Tables'!$X$14,0,VLOOKUP(K30,T_Javlin,6,TRUE)))</f>
        <v>0</v>
      </c>
      <c r="M30" s="100">
        <f>(LARGE((F30,H30),1)+J30+L30)</f>
        <v>0</v>
      </c>
      <c r="N30" s="101">
        <f t="shared" si="2"/>
      </c>
      <c r="O30" s="101">
        <f t="shared" si="12"/>
      </c>
      <c r="P30" s="102">
        <f t="shared" si="4"/>
        <v>0</v>
      </c>
      <c r="Q30" s="103">
        <f t="shared" si="5"/>
        <v>0</v>
      </c>
      <c r="AD30" s="149">
        <f t="shared" si="8"/>
        <v>0</v>
      </c>
      <c r="AE30" s="150">
        <f t="shared" si="9"/>
        <v>0</v>
      </c>
      <c r="AF30" s="149">
        <f t="shared" si="6"/>
        <v>0</v>
      </c>
      <c r="AG30" s="151">
        <f t="shared" si="13"/>
        <v>0</v>
      </c>
      <c r="AH30" s="151">
        <f t="shared" si="13"/>
        <v>0</v>
      </c>
      <c r="AI30" s="151">
        <f t="shared" si="13"/>
        <v>0</v>
      </c>
      <c r="AJ30" s="151">
        <f t="shared" si="13"/>
        <v>0</v>
      </c>
      <c r="AK30" s="151">
        <f t="shared" si="13"/>
        <v>0</v>
      </c>
      <c r="AL30" s="151">
        <f t="shared" si="13"/>
        <v>0</v>
      </c>
      <c r="AM30" s="151">
        <f t="shared" si="13"/>
        <v>0</v>
      </c>
      <c r="AN30" s="151">
        <f t="shared" si="13"/>
        <v>0</v>
      </c>
      <c r="AO30" s="151">
        <f t="shared" si="13"/>
        <v>0</v>
      </c>
      <c r="AP30" s="151">
        <f t="shared" si="13"/>
        <v>0</v>
      </c>
      <c r="AQ30" s="151">
        <f t="shared" si="13"/>
        <v>0</v>
      </c>
      <c r="AR30" s="151">
        <f t="shared" si="13"/>
        <v>0</v>
      </c>
      <c r="AS30" s="151">
        <f t="shared" si="13"/>
        <v>0</v>
      </c>
      <c r="AT30" s="151">
        <f t="shared" si="13"/>
        <v>0</v>
      </c>
      <c r="AU30" s="151">
        <f t="shared" si="13"/>
        <v>0</v>
      </c>
      <c r="AV30" s="151">
        <f t="shared" si="13"/>
        <v>0</v>
      </c>
      <c r="AW30" s="151">
        <f t="shared" si="13"/>
        <v>0</v>
      </c>
      <c r="AX30" s="151">
        <f t="shared" si="13"/>
        <v>0</v>
      </c>
      <c r="AY30" s="151">
        <f t="shared" si="13"/>
        <v>0</v>
      </c>
      <c r="AZ30" s="150">
        <f t="shared" si="13"/>
        <v>0</v>
      </c>
    </row>
    <row r="31" spans="1:52" ht="12.75">
      <c r="A31" s="77"/>
      <c r="B31" s="78"/>
      <c r="C31" s="89"/>
      <c r="D31" s="78"/>
      <c r="E31" s="80"/>
      <c r="F31" s="98">
        <f t="shared" si="0"/>
        <v>0</v>
      </c>
      <c r="G31" s="86"/>
      <c r="H31" s="98">
        <f t="shared" si="1"/>
        <v>0</v>
      </c>
      <c r="I31" s="82"/>
      <c r="J31" s="99">
        <f>IF(I31="NJ",0,IF(I31&lt;'Scoring Tables'!$S$4,0,VLOOKUP(I31,T_Long,11,TRUE)))</f>
        <v>0</v>
      </c>
      <c r="K31" s="83"/>
      <c r="L31" s="99">
        <f>IF(K31="NT",0,IF(K31&lt;'Scoring Tables'!$X$14,0,VLOOKUP(K31,T_Javlin,6,TRUE)))</f>
        <v>0</v>
      </c>
      <c r="M31" s="100">
        <f>(LARGE((F31,H31),1)+J31+L31)</f>
        <v>0</v>
      </c>
      <c r="N31" s="101">
        <f t="shared" si="2"/>
      </c>
      <c r="O31" s="101">
        <f t="shared" si="12"/>
      </c>
      <c r="P31" s="102">
        <f t="shared" si="4"/>
        <v>0</v>
      </c>
      <c r="Q31" s="103">
        <f t="shared" si="5"/>
        <v>0</v>
      </c>
      <c r="AD31" s="149">
        <f t="shared" si="8"/>
        <v>0</v>
      </c>
      <c r="AE31" s="150">
        <f t="shared" si="9"/>
        <v>0</v>
      </c>
      <c r="AF31" s="149">
        <f t="shared" si="6"/>
        <v>0</v>
      </c>
      <c r="AG31" s="151">
        <f t="shared" si="13"/>
        <v>0</v>
      </c>
      <c r="AH31" s="151">
        <f t="shared" si="13"/>
        <v>0</v>
      </c>
      <c r="AI31" s="151">
        <f t="shared" si="13"/>
        <v>0</v>
      </c>
      <c r="AJ31" s="151">
        <f t="shared" si="13"/>
        <v>0</v>
      </c>
      <c r="AK31" s="151">
        <f t="shared" si="13"/>
        <v>0</v>
      </c>
      <c r="AL31" s="151">
        <f t="shared" si="13"/>
        <v>0</v>
      </c>
      <c r="AM31" s="151">
        <f t="shared" si="13"/>
        <v>0</v>
      </c>
      <c r="AN31" s="151">
        <f t="shared" si="13"/>
        <v>0</v>
      </c>
      <c r="AO31" s="151">
        <f t="shared" si="13"/>
        <v>0</v>
      </c>
      <c r="AP31" s="151">
        <f t="shared" si="13"/>
        <v>0</v>
      </c>
      <c r="AQ31" s="151">
        <f t="shared" si="13"/>
        <v>0</v>
      </c>
      <c r="AR31" s="151">
        <f t="shared" si="13"/>
        <v>0</v>
      </c>
      <c r="AS31" s="151">
        <f t="shared" si="13"/>
        <v>0</v>
      </c>
      <c r="AT31" s="151">
        <f t="shared" si="13"/>
        <v>0</v>
      </c>
      <c r="AU31" s="151">
        <f t="shared" si="13"/>
        <v>0</v>
      </c>
      <c r="AV31" s="151">
        <f t="shared" si="13"/>
        <v>0</v>
      </c>
      <c r="AW31" s="151">
        <f t="shared" si="13"/>
        <v>0</v>
      </c>
      <c r="AX31" s="151">
        <f t="shared" si="13"/>
        <v>0</v>
      </c>
      <c r="AY31" s="151">
        <f t="shared" si="13"/>
        <v>0</v>
      </c>
      <c r="AZ31" s="150">
        <f t="shared" si="13"/>
        <v>0</v>
      </c>
    </row>
    <row r="32" spans="1:52" ht="12.75">
      <c r="A32" s="77"/>
      <c r="B32" s="78"/>
      <c r="C32" s="89"/>
      <c r="D32" s="78"/>
      <c r="E32" s="80"/>
      <c r="F32" s="98">
        <f t="shared" si="0"/>
        <v>0</v>
      </c>
      <c r="G32" s="86"/>
      <c r="H32" s="98">
        <f t="shared" si="1"/>
        <v>0</v>
      </c>
      <c r="I32" s="82"/>
      <c r="J32" s="99">
        <f>IF(I32="NJ",0,IF(I32&lt;'Scoring Tables'!$S$4,0,VLOOKUP(I32,T_Long,11,TRUE)))</f>
        <v>0</v>
      </c>
      <c r="K32" s="83"/>
      <c r="L32" s="99">
        <f>IF(K32="NT",0,IF(K32&lt;'Scoring Tables'!$X$14,0,VLOOKUP(K32,T_Javlin,6,TRUE)))</f>
        <v>0</v>
      </c>
      <c r="M32" s="100">
        <f>(LARGE((F32,H32),1)+J32+L32)</f>
        <v>0</v>
      </c>
      <c r="N32" s="101">
        <f t="shared" si="2"/>
      </c>
      <c r="O32" s="101">
        <f t="shared" si="12"/>
      </c>
      <c r="P32" s="102">
        <f t="shared" si="4"/>
        <v>0</v>
      </c>
      <c r="Q32" s="103">
        <f t="shared" si="5"/>
        <v>0</v>
      </c>
      <c r="AD32" s="149">
        <f t="shared" si="8"/>
        <v>0</v>
      </c>
      <c r="AE32" s="150">
        <f t="shared" si="9"/>
        <v>0</v>
      </c>
      <c r="AF32" s="149">
        <f t="shared" si="6"/>
        <v>0</v>
      </c>
      <c r="AG32" s="151">
        <f t="shared" si="13"/>
        <v>0</v>
      </c>
      <c r="AH32" s="151">
        <f t="shared" si="13"/>
        <v>0</v>
      </c>
      <c r="AI32" s="151">
        <f t="shared" si="13"/>
        <v>0</v>
      </c>
      <c r="AJ32" s="151">
        <f t="shared" si="13"/>
        <v>0</v>
      </c>
      <c r="AK32" s="151">
        <f t="shared" si="13"/>
        <v>0</v>
      </c>
      <c r="AL32" s="151">
        <f t="shared" si="13"/>
        <v>0</v>
      </c>
      <c r="AM32" s="151">
        <f t="shared" si="13"/>
        <v>0</v>
      </c>
      <c r="AN32" s="151">
        <f t="shared" si="13"/>
        <v>0</v>
      </c>
      <c r="AO32" s="151">
        <f t="shared" si="13"/>
        <v>0</v>
      </c>
      <c r="AP32" s="151">
        <f t="shared" si="13"/>
        <v>0</v>
      </c>
      <c r="AQ32" s="151">
        <f t="shared" si="13"/>
        <v>0</v>
      </c>
      <c r="AR32" s="151">
        <f t="shared" si="13"/>
        <v>0</v>
      </c>
      <c r="AS32" s="151">
        <f t="shared" si="13"/>
        <v>0</v>
      </c>
      <c r="AT32" s="151">
        <f t="shared" si="13"/>
        <v>0</v>
      </c>
      <c r="AU32" s="151">
        <f t="shared" si="13"/>
        <v>0</v>
      </c>
      <c r="AV32" s="151">
        <f t="shared" si="13"/>
        <v>0</v>
      </c>
      <c r="AW32" s="151">
        <f t="shared" si="13"/>
        <v>0</v>
      </c>
      <c r="AX32" s="151">
        <f t="shared" si="13"/>
        <v>0</v>
      </c>
      <c r="AY32" s="151">
        <f t="shared" si="13"/>
        <v>0</v>
      </c>
      <c r="AZ32" s="150">
        <f t="shared" si="13"/>
        <v>0</v>
      </c>
    </row>
    <row r="33" spans="1:52" ht="12.75">
      <c r="A33" s="90"/>
      <c r="B33" s="91"/>
      <c r="C33" s="92"/>
      <c r="D33" s="78"/>
      <c r="E33" s="93"/>
      <c r="F33" s="98">
        <f t="shared" si="0"/>
        <v>0</v>
      </c>
      <c r="G33" s="86"/>
      <c r="H33" s="98">
        <f t="shared" si="1"/>
        <v>0</v>
      </c>
      <c r="I33" s="94"/>
      <c r="J33" s="99">
        <f>IF(I33="NJ",0,IF(I33&lt;'Scoring Tables'!$S$4,0,VLOOKUP(I33,T_Long,11,TRUE)))</f>
        <v>0</v>
      </c>
      <c r="K33" s="94"/>
      <c r="L33" s="99">
        <f>IF(K33="NT",0,IF(K33&lt;'Scoring Tables'!$X$14,0,VLOOKUP(K33,T_Javlin,6,TRUE)))</f>
        <v>0</v>
      </c>
      <c r="M33" s="100">
        <f>(LARGE((F33,H33),1)+J33+L33)</f>
        <v>0</v>
      </c>
      <c r="N33" s="101">
        <f t="shared" si="2"/>
      </c>
      <c r="O33" s="101">
        <f t="shared" si="12"/>
      </c>
      <c r="P33" s="102">
        <f t="shared" si="4"/>
        <v>0</v>
      </c>
      <c r="Q33" s="103">
        <f t="shared" si="5"/>
        <v>0</v>
      </c>
      <c r="AD33" s="149">
        <f t="shared" si="8"/>
        <v>0</v>
      </c>
      <c r="AE33" s="150">
        <f t="shared" si="9"/>
        <v>0</v>
      </c>
      <c r="AF33" s="149">
        <f t="shared" si="6"/>
        <v>0</v>
      </c>
      <c r="AG33" s="151">
        <f t="shared" si="13"/>
        <v>0</v>
      </c>
      <c r="AH33" s="151">
        <f t="shared" si="13"/>
        <v>0</v>
      </c>
      <c r="AI33" s="151">
        <f t="shared" si="13"/>
        <v>0</v>
      </c>
      <c r="AJ33" s="151">
        <f t="shared" si="13"/>
        <v>0</v>
      </c>
      <c r="AK33" s="151">
        <f t="shared" si="13"/>
        <v>0</v>
      </c>
      <c r="AL33" s="151">
        <f t="shared" si="13"/>
        <v>0</v>
      </c>
      <c r="AM33" s="151">
        <f t="shared" si="13"/>
        <v>0</v>
      </c>
      <c r="AN33" s="151">
        <f t="shared" si="13"/>
        <v>0</v>
      </c>
      <c r="AO33" s="151">
        <f t="shared" si="13"/>
        <v>0</v>
      </c>
      <c r="AP33" s="151">
        <f t="shared" si="13"/>
        <v>0</v>
      </c>
      <c r="AQ33" s="151">
        <f t="shared" si="13"/>
        <v>0</v>
      </c>
      <c r="AR33" s="151">
        <f t="shared" si="13"/>
        <v>0</v>
      </c>
      <c r="AS33" s="151">
        <f t="shared" si="13"/>
        <v>0</v>
      </c>
      <c r="AT33" s="151">
        <f t="shared" si="13"/>
        <v>0</v>
      </c>
      <c r="AU33" s="151">
        <f t="shared" si="13"/>
        <v>0</v>
      </c>
      <c r="AV33" s="151">
        <f t="shared" si="13"/>
        <v>0</v>
      </c>
      <c r="AW33" s="151">
        <f t="shared" si="13"/>
        <v>0</v>
      </c>
      <c r="AX33" s="151">
        <f t="shared" si="13"/>
        <v>0</v>
      </c>
      <c r="AY33" s="151">
        <f t="shared" si="13"/>
        <v>0</v>
      </c>
      <c r="AZ33" s="150">
        <f t="shared" si="13"/>
        <v>0</v>
      </c>
    </row>
    <row r="34" spans="1:52" ht="12.75">
      <c r="A34" s="90"/>
      <c r="B34" s="91"/>
      <c r="C34" s="92"/>
      <c r="D34" s="78"/>
      <c r="E34" s="93"/>
      <c r="F34" s="98">
        <f t="shared" si="0"/>
        <v>0</v>
      </c>
      <c r="G34" s="86"/>
      <c r="H34" s="98">
        <f t="shared" si="1"/>
        <v>0</v>
      </c>
      <c r="I34" s="94"/>
      <c r="J34" s="99">
        <f>IF(I34="NJ",0,IF(I34&lt;'Scoring Tables'!$S$4,0,VLOOKUP(I34,T_Long,11,TRUE)))</f>
        <v>0</v>
      </c>
      <c r="K34" s="94"/>
      <c r="L34" s="99">
        <f>IF(K34="NT",0,IF(K34&lt;'Scoring Tables'!$X$14,0,VLOOKUP(K34,T_Javlin,6,TRUE)))</f>
        <v>0</v>
      </c>
      <c r="M34" s="100">
        <f>(LARGE((F34,H34),1)+J34+L34)</f>
        <v>0</v>
      </c>
      <c r="N34" s="101">
        <f t="shared" si="2"/>
      </c>
      <c r="O34" s="101">
        <f t="shared" si="12"/>
      </c>
      <c r="P34" s="102">
        <f t="shared" si="4"/>
        <v>0</v>
      </c>
      <c r="Q34" s="103">
        <f t="shared" si="5"/>
        <v>0</v>
      </c>
      <c r="AD34" s="149">
        <f t="shared" si="8"/>
        <v>0</v>
      </c>
      <c r="AE34" s="150">
        <f t="shared" si="9"/>
        <v>0</v>
      </c>
      <c r="AF34" s="149">
        <f t="shared" si="6"/>
        <v>0</v>
      </c>
      <c r="AG34" s="151">
        <f aca="true" t="shared" si="14" ref="AG34:AZ42">IF($D34=AG$1,$M34,0)</f>
        <v>0</v>
      </c>
      <c r="AH34" s="151">
        <f t="shared" si="14"/>
        <v>0</v>
      </c>
      <c r="AI34" s="151">
        <f t="shared" si="14"/>
        <v>0</v>
      </c>
      <c r="AJ34" s="151">
        <f t="shared" si="14"/>
        <v>0</v>
      </c>
      <c r="AK34" s="151">
        <f t="shared" si="14"/>
        <v>0</v>
      </c>
      <c r="AL34" s="151">
        <f t="shared" si="14"/>
        <v>0</v>
      </c>
      <c r="AM34" s="151">
        <f t="shared" si="14"/>
        <v>0</v>
      </c>
      <c r="AN34" s="151">
        <f t="shared" si="14"/>
        <v>0</v>
      </c>
      <c r="AO34" s="151">
        <f t="shared" si="14"/>
        <v>0</v>
      </c>
      <c r="AP34" s="151">
        <f t="shared" si="14"/>
        <v>0</v>
      </c>
      <c r="AQ34" s="151">
        <f t="shared" si="14"/>
        <v>0</v>
      </c>
      <c r="AR34" s="151">
        <f t="shared" si="14"/>
        <v>0</v>
      </c>
      <c r="AS34" s="151">
        <f t="shared" si="14"/>
        <v>0</v>
      </c>
      <c r="AT34" s="151">
        <f t="shared" si="14"/>
        <v>0</v>
      </c>
      <c r="AU34" s="151">
        <f t="shared" si="14"/>
        <v>0</v>
      </c>
      <c r="AV34" s="151">
        <f t="shared" si="14"/>
        <v>0</v>
      </c>
      <c r="AW34" s="151">
        <f t="shared" si="14"/>
        <v>0</v>
      </c>
      <c r="AX34" s="151">
        <f t="shared" si="14"/>
        <v>0</v>
      </c>
      <c r="AY34" s="151">
        <f t="shared" si="14"/>
        <v>0</v>
      </c>
      <c r="AZ34" s="150">
        <f t="shared" si="14"/>
        <v>0</v>
      </c>
    </row>
    <row r="35" spans="1:52" ht="12.75">
      <c r="A35" s="90"/>
      <c r="B35" s="91"/>
      <c r="C35" s="92"/>
      <c r="D35" s="78"/>
      <c r="E35" s="93"/>
      <c r="F35" s="98">
        <f t="shared" si="0"/>
        <v>0</v>
      </c>
      <c r="G35" s="86"/>
      <c r="H35" s="98">
        <f t="shared" si="1"/>
        <v>0</v>
      </c>
      <c r="I35" s="94"/>
      <c r="J35" s="99">
        <f>IF(I35="NJ",0,IF(I35&lt;'Scoring Tables'!$S$4,0,VLOOKUP(I35,T_Long,11,TRUE)))</f>
        <v>0</v>
      </c>
      <c r="K35" s="94"/>
      <c r="L35" s="99">
        <f>IF(K35="NT",0,IF(K35&lt;'Scoring Tables'!$X$14,0,VLOOKUP(K35,T_Javlin,6,TRUE)))</f>
        <v>0</v>
      </c>
      <c r="M35" s="100">
        <f>(LARGE((F35,H35),1)+J35+L35)</f>
        <v>0</v>
      </c>
      <c r="N35" s="101">
        <f t="shared" si="2"/>
      </c>
      <c r="O35" s="101">
        <f t="shared" si="12"/>
      </c>
      <c r="P35" s="102">
        <f t="shared" si="4"/>
        <v>0</v>
      </c>
      <c r="Q35" s="103">
        <f t="shared" si="5"/>
        <v>0</v>
      </c>
      <c r="AD35" s="149">
        <f t="shared" si="8"/>
        <v>0</v>
      </c>
      <c r="AE35" s="150">
        <f t="shared" si="9"/>
        <v>0</v>
      </c>
      <c r="AF35" s="149">
        <f t="shared" si="6"/>
        <v>0</v>
      </c>
      <c r="AG35" s="151">
        <f t="shared" si="14"/>
        <v>0</v>
      </c>
      <c r="AH35" s="151">
        <f t="shared" si="14"/>
        <v>0</v>
      </c>
      <c r="AI35" s="151">
        <f t="shared" si="14"/>
        <v>0</v>
      </c>
      <c r="AJ35" s="151">
        <f t="shared" si="14"/>
        <v>0</v>
      </c>
      <c r="AK35" s="151">
        <f t="shared" si="14"/>
        <v>0</v>
      </c>
      <c r="AL35" s="151">
        <f t="shared" si="14"/>
        <v>0</v>
      </c>
      <c r="AM35" s="151">
        <f t="shared" si="14"/>
        <v>0</v>
      </c>
      <c r="AN35" s="151">
        <f t="shared" si="14"/>
        <v>0</v>
      </c>
      <c r="AO35" s="151">
        <f t="shared" si="14"/>
        <v>0</v>
      </c>
      <c r="AP35" s="151">
        <f t="shared" si="14"/>
        <v>0</v>
      </c>
      <c r="AQ35" s="151">
        <f t="shared" si="14"/>
        <v>0</v>
      </c>
      <c r="AR35" s="151">
        <f t="shared" si="14"/>
        <v>0</v>
      </c>
      <c r="AS35" s="151">
        <f t="shared" si="14"/>
        <v>0</v>
      </c>
      <c r="AT35" s="151">
        <f t="shared" si="14"/>
        <v>0</v>
      </c>
      <c r="AU35" s="151">
        <f t="shared" si="14"/>
        <v>0</v>
      </c>
      <c r="AV35" s="151">
        <f t="shared" si="14"/>
        <v>0</v>
      </c>
      <c r="AW35" s="151">
        <f t="shared" si="14"/>
        <v>0</v>
      </c>
      <c r="AX35" s="151">
        <f t="shared" si="14"/>
        <v>0</v>
      </c>
      <c r="AY35" s="151">
        <f t="shared" si="14"/>
        <v>0</v>
      </c>
      <c r="AZ35" s="150">
        <f t="shared" si="14"/>
        <v>0</v>
      </c>
    </row>
    <row r="36" spans="1:52" ht="12.75">
      <c r="A36" s="90"/>
      <c r="B36" s="91"/>
      <c r="C36" s="92"/>
      <c r="D36" s="78"/>
      <c r="E36" s="93"/>
      <c r="F36" s="98">
        <f t="shared" si="0"/>
        <v>0</v>
      </c>
      <c r="G36" s="86"/>
      <c r="H36" s="98">
        <f t="shared" si="1"/>
        <v>0</v>
      </c>
      <c r="I36" s="94"/>
      <c r="J36" s="99">
        <f>IF(I36="NJ",0,IF(I36&lt;'Scoring Tables'!$S$4,0,VLOOKUP(I36,T_Long,11,TRUE)))</f>
        <v>0</v>
      </c>
      <c r="K36" s="94"/>
      <c r="L36" s="99">
        <f>IF(K36="NT",0,IF(K36&lt;'Scoring Tables'!$X$14,0,VLOOKUP(K36,T_Javlin,6,TRUE)))</f>
        <v>0</v>
      </c>
      <c r="M36" s="100">
        <f>(LARGE((F36,H36),1)+J36+L36)</f>
        <v>0</v>
      </c>
      <c r="N36" s="101">
        <f t="shared" si="2"/>
      </c>
      <c r="O36" s="101">
        <f t="shared" si="12"/>
      </c>
      <c r="P36" s="102">
        <f t="shared" si="4"/>
        <v>0</v>
      </c>
      <c r="Q36" s="103">
        <f t="shared" si="5"/>
        <v>0</v>
      </c>
      <c r="AD36" s="149">
        <f t="shared" si="8"/>
        <v>0</v>
      </c>
      <c r="AE36" s="150">
        <f t="shared" si="9"/>
        <v>0</v>
      </c>
      <c r="AF36" s="149">
        <f t="shared" si="6"/>
        <v>0</v>
      </c>
      <c r="AG36" s="151">
        <f t="shared" si="14"/>
        <v>0</v>
      </c>
      <c r="AH36" s="151">
        <f t="shared" si="14"/>
        <v>0</v>
      </c>
      <c r="AI36" s="151">
        <f t="shared" si="14"/>
        <v>0</v>
      </c>
      <c r="AJ36" s="151">
        <f t="shared" si="14"/>
        <v>0</v>
      </c>
      <c r="AK36" s="151">
        <f t="shared" si="14"/>
        <v>0</v>
      </c>
      <c r="AL36" s="151">
        <f t="shared" si="14"/>
        <v>0</v>
      </c>
      <c r="AM36" s="151">
        <f t="shared" si="14"/>
        <v>0</v>
      </c>
      <c r="AN36" s="151">
        <f t="shared" si="14"/>
        <v>0</v>
      </c>
      <c r="AO36" s="151">
        <f t="shared" si="14"/>
        <v>0</v>
      </c>
      <c r="AP36" s="151">
        <f t="shared" si="14"/>
        <v>0</v>
      </c>
      <c r="AQ36" s="151">
        <f t="shared" si="14"/>
        <v>0</v>
      </c>
      <c r="AR36" s="151">
        <f t="shared" si="14"/>
        <v>0</v>
      </c>
      <c r="AS36" s="151">
        <f t="shared" si="14"/>
        <v>0</v>
      </c>
      <c r="AT36" s="151">
        <f t="shared" si="14"/>
        <v>0</v>
      </c>
      <c r="AU36" s="151">
        <f t="shared" si="14"/>
        <v>0</v>
      </c>
      <c r="AV36" s="151">
        <f t="shared" si="14"/>
        <v>0</v>
      </c>
      <c r="AW36" s="151">
        <f t="shared" si="14"/>
        <v>0</v>
      </c>
      <c r="AX36" s="151">
        <f t="shared" si="14"/>
        <v>0</v>
      </c>
      <c r="AY36" s="151">
        <f t="shared" si="14"/>
        <v>0</v>
      </c>
      <c r="AZ36" s="150">
        <f t="shared" si="14"/>
        <v>0</v>
      </c>
    </row>
    <row r="37" spans="1:52" ht="12.75">
      <c r="A37" s="90"/>
      <c r="B37" s="91"/>
      <c r="C37" s="92"/>
      <c r="D37" s="78"/>
      <c r="E37" s="93"/>
      <c r="F37" s="98">
        <f t="shared" si="0"/>
        <v>0</v>
      </c>
      <c r="G37" s="86"/>
      <c r="H37" s="98">
        <f t="shared" si="1"/>
        <v>0</v>
      </c>
      <c r="I37" s="94"/>
      <c r="J37" s="99">
        <f>IF(I37="NJ",0,IF(I37&lt;'Scoring Tables'!$S$4,0,VLOOKUP(I37,T_Long,11,TRUE)))</f>
        <v>0</v>
      </c>
      <c r="K37" s="94"/>
      <c r="L37" s="99">
        <f>IF(K37="NT",0,IF(K37&lt;'Scoring Tables'!$X$14,0,VLOOKUP(K37,T_Javlin,6,TRUE)))</f>
        <v>0</v>
      </c>
      <c r="M37" s="100">
        <f>(LARGE((F37,H37),1)+J37+L37)</f>
        <v>0</v>
      </c>
      <c r="N37" s="101">
        <f t="shared" si="2"/>
      </c>
      <c r="O37" s="101">
        <f t="shared" si="12"/>
      </c>
      <c r="P37" s="102">
        <f t="shared" si="4"/>
        <v>0</v>
      </c>
      <c r="Q37" s="103">
        <f t="shared" si="5"/>
        <v>0</v>
      </c>
      <c r="AD37" s="149">
        <f t="shared" si="8"/>
        <v>0</v>
      </c>
      <c r="AE37" s="150">
        <f t="shared" si="9"/>
        <v>0</v>
      </c>
      <c r="AF37" s="149">
        <f t="shared" si="6"/>
        <v>0</v>
      </c>
      <c r="AG37" s="151">
        <f t="shared" si="14"/>
        <v>0</v>
      </c>
      <c r="AH37" s="151">
        <f t="shared" si="14"/>
        <v>0</v>
      </c>
      <c r="AI37" s="151">
        <f t="shared" si="14"/>
        <v>0</v>
      </c>
      <c r="AJ37" s="151">
        <f t="shared" si="14"/>
        <v>0</v>
      </c>
      <c r="AK37" s="151">
        <f t="shared" si="14"/>
        <v>0</v>
      </c>
      <c r="AL37" s="151">
        <f t="shared" si="14"/>
        <v>0</v>
      </c>
      <c r="AM37" s="151">
        <f t="shared" si="14"/>
        <v>0</v>
      </c>
      <c r="AN37" s="151">
        <f t="shared" si="14"/>
        <v>0</v>
      </c>
      <c r="AO37" s="151">
        <f t="shared" si="14"/>
        <v>0</v>
      </c>
      <c r="AP37" s="151">
        <f t="shared" si="14"/>
        <v>0</v>
      </c>
      <c r="AQ37" s="151">
        <f t="shared" si="14"/>
        <v>0</v>
      </c>
      <c r="AR37" s="151">
        <f t="shared" si="14"/>
        <v>0</v>
      </c>
      <c r="AS37" s="151">
        <f t="shared" si="14"/>
        <v>0</v>
      </c>
      <c r="AT37" s="151">
        <f t="shared" si="14"/>
        <v>0</v>
      </c>
      <c r="AU37" s="151">
        <f t="shared" si="14"/>
        <v>0</v>
      </c>
      <c r="AV37" s="151">
        <f t="shared" si="14"/>
        <v>0</v>
      </c>
      <c r="AW37" s="151">
        <f t="shared" si="14"/>
        <v>0</v>
      </c>
      <c r="AX37" s="151">
        <f t="shared" si="14"/>
        <v>0</v>
      </c>
      <c r="AY37" s="151">
        <f t="shared" si="14"/>
        <v>0</v>
      </c>
      <c r="AZ37" s="150">
        <f t="shared" si="14"/>
        <v>0</v>
      </c>
    </row>
    <row r="38" spans="1:52" ht="12.75">
      <c r="A38" s="131"/>
      <c r="B38" s="132"/>
      <c r="C38" s="133"/>
      <c r="D38" s="134"/>
      <c r="E38" s="142"/>
      <c r="F38" s="136">
        <f t="shared" si="0"/>
        <v>0</v>
      </c>
      <c r="G38" s="137"/>
      <c r="H38" s="136">
        <f t="shared" si="1"/>
        <v>0</v>
      </c>
      <c r="I38" s="135"/>
      <c r="J38" s="138">
        <f>IF(I38="NJ",0,IF(I38&lt;'Scoring Tables'!$S$4,0,VLOOKUP(I38,T_Long,11,TRUE)))</f>
        <v>0</v>
      </c>
      <c r="K38" s="135"/>
      <c r="L38" s="138">
        <f>IF(K38="NT",0,IF(K38&lt;'Scoring Tables'!$X$14,0,VLOOKUP(K38,T_Javlin,6,TRUE)))</f>
        <v>0</v>
      </c>
      <c r="M38" s="139">
        <f>(LARGE((F38,H38),1)+J38+L38)</f>
        <v>0</v>
      </c>
      <c r="N38" s="140">
        <f t="shared" si="2"/>
      </c>
      <c r="O38" s="140">
        <f t="shared" si="12"/>
      </c>
      <c r="P38" s="105">
        <f t="shared" si="4"/>
        <v>0</v>
      </c>
      <c r="Q38" s="141">
        <f t="shared" si="5"/>
        <v>0</v>
      </c>
      <c r="AD38" s="149">
        <f t="shared" si="8"/>
        <v>0</v>
      </c>
      <c r="AE38" s="150">
        <f t="shared" si="9"/>
        <v>0</v>
      </c>
      <c r="AF38" s="149">
        <f t="shared" si="6"/>
        <v>0</v>
      </c>
      <c r="AG38" s="151">
        <f t="shared" si="14"/>
        <v>0</v>
      </c>
      <c r="AH38" s="151">
        <f t="shared" si="14"/>
        <v>0</v>
      </c>
      <c r="AI38" s="151">
        <f t="shared" si="14"/>
        <v>0</v>
      </c>
      <c r="AJ38" s="151">
        <f t="shared" si="14"/>
        <v>0</v>
      </c>
      <c r="AK38" s="151">
        <f t="shared" si="14"/>
        <v>0</v>
      </c>
      <c r="AL38" s="151">
        <f t="shared" si="14"/>
        <v>0</v>
      </c>
      <c r="AM38" s="151">
        <f t="shared" si="14"/>
        <v>0</v>
      </c>
      <c r="AN38" s="151">
        <f t="shared" si="14"/>
        <v>0</v>
      </c>
      <c r="AO38" s="151">
        <f t="shared" si="14"/>
        <v>0</v>
      </c>
      <c r="AP38" s="151">
        <f t="shared" si="14"/>
        <v>0</v>
      </c>
      <c r="AQ38" s="151">
        <f t="shared" si="14"/>
        <v>0</v>
      </c>
      <c r="AR38" s="151">
        <f t="shared" si="14"/>
        <v>0</v>
      </c>
      <c r="AS38" s="151">
        <f t="shared" si="14"/>
        <v>0</v>
      </c>
      <c r="AT38" s="151">
        <f t="shared" si="14"/>
        <v>0</v>
      </c>
      <c r="AU38" s="151">
        <f t="shared" si="14"/>
        <v>0</v>
      </c>
      <c r="AV38" s="151">
        <f t="shared" si="14"/>
        <v>0</v>
      </c>
      <c r="AW38" s="151">
        <f t="shared" si="14"/>
        <v>0</v>
      </c>
      <c r="AX38" s="151">
        <f t="shared" si="14"/>
        <v>0</v>
      </c>
      <c r="AY38" s="151">
        <f t="shared" si="14"/>
        <v>0</v>
      </c>
      <c r="AZ38" s="150">
        <f t="shared" si="14"/>
        <v>0</v>
      </c>
    </row>
    <row r="39" spans="1:52" ht="12.75">
      <c r="A39" s="90"/>
      <c r="B39" s="91"/>
      <c r="C39" s="92"/>
      <c r="D39" s="78"/>
      <c r="E39" s="93"/>
      <c r="F39" s="98">
        <f aca="true" t="shared" si="15" ref="F39:F70">IF(E39="DNF",0,IF(E39=0,0,IF(E39&lt;=14,VLOOKUP(E39,T_100m,15,TRUE),IF(E39&lt;=15.2,VLOOKUP(E39,T_100m,15,TRUE),IF(E39&lt;=21,VLOOKUP(E39-0.01,T_100m,15,TRUE)-1,0)))))</f>
        <v>0</v>
      </c>
      <c r="G39" s="86"/>
      <c r="H39" s="98">
        <f aca="true" t="shared" si="16" ref="H39:H70">IF(G39="DNF",0,IF(G39=0,0,VLOOKUP(G39,T_800m,11,TRUE)-1))</f>
        <v>0</v>
      </c>
      <c r="I39" s="94"/>
      <c r="J39" s="99">
        <f>IF(I39="NJ",0,IF(I39&lt;'Scoring Tables'!$S$4,0,VLOOKUP(I39,T_Long,11,TRUE)))</f>
        <v>0</v>
      </c>
      <c r="K39" s="94"/>
      <c r="L39" s="99">
        <f>IF(K39="NT",0,IF(K39&lt;'Scoring Tables'!$X$14,0,VLOOKUP(K39,T_Javlin,6,TRUE)))</f>
        <v>0</v>
      </c>
      <c r="M39" s="100">
        <f>(LARGE((F39,H39),1)+J39+L39)</f>
        <v>0</v>
      </c>
      <c r="N39" s="101">
        <f aca="true" t="shared" si="17" ref="N39:N70">IF(M39=0,"",IF(C39="M",(RANK(M39,AD$7:AD$70)&amp;"B"),RANK(M39,AE$7:AE$70)&amp;"G"))</f>
      </c>
      <c r="O39" s="101">
        <f t="shared" si="12"/>
      </c>
      <c r="P39" s="102">
        <f aca="true" t="shared" si="18" ref="P39:P70">IF(M39=(HLOOKUP(D39,Team_Pos,71)),HLOOKUP(D39,Team_Pos,76),IF(M39=(HLOOKUP(D39,Team_Pos,72)),HLOOKUP(D39,Team_Pos,76),IF(M39=(HLOOKUP(D39,Team_Pos,73)),HLOOKUP(D39,Team_Pos,76),0)))</f>
        <v>0</v>
      </c>
      <c r="Q39" s="103">
        <f aca="true" t="shared" si="19" ref="Q39:Q70">IF(M39=(HLOOKUP(D39,Team_Pos,71)),HLOOKUP(D39,Team_Pos,77),IF(M39=(HLOOKUP(D39,Team_Pos,72)),HLOOKUP(D39,Team_Pos,77),IF(M39=(HLOOKUP(D39,Team_Pos,73)),HLOOKUP(D39,Team_Pos,77),0)))</f>
        <v>0</v>
      </c>
      <c r="AD39" s="149">
        <f t="shared" si="8"/>
        <v>0</v>
      </c>
      <c r="AE39" s="150">
        <f t="shared" si="9"/>
        <v>0</v>
      </c>
      <c r="AF39" s="149">
        <f aca="true" t="shared" si="20" ref="AF39:AF70">IF($D39=AF$1,$M39,0)</f>
        <v>0</v>
      </c>
      <c r="AG39" s="151">
        <f t="shared" si="14"/>
        <v>0</v>
      </c>
      <c r="AH39" s="151">
        <f t="shared" si="14"/>
        <v>0</v>
      </c>
      <c r="AI39" s="151">
        <f t="shared" si="14"/>
        <v>0</v>
      </c>
      <c r="AJ39" s="151">
        <f t="shared" si="14"/>
        <v>0</v>
      </c>
      <c r="AK39" s="151">
        <f t="shared" si="14"/>
        <v>0</v>
      </c>
      <c r="AL39" s="151">
        <f t="shared" si="14"/>
        <v>0</v>
      </c>
      <c r="AM39" s="151">
        <f t="shared" si="14"/>
        <v>0</v>
      </c>
      <c r="AN39" s="151">
        <f t="shared" si="14"/>
        <v>0</v>
      </c>
      <c r="AO39" s="151">
        <f t="shared" si="14"/>
        <v>0</v>
      </c>
      <c r="AP39" s="151">
        <f t="shared" si="14"/>
        <v>0</v>
      </c>
      <c r="AQ39" s="151">
        <f t="shared" si="14"/>
        <v>0</v>
      </c>
      <c r="AR39" s="151">
        <f t="shared" si="14"/>
        <v>0</v>
      </c>
      <c r="AS39" s="151">
        <f t="shared" si="14"/>
        <v>0</v>
      </c>
      <c r="AT39" s="151">
        <f t="shared" si="14"/>
        <v>0</v>
      </c>
      <c r="AU39" s="151">
        <f t="shared" si="14"/>
        <v>0</v>
      </c>
      <c r="AV39" s="151">
        <f t="shared" si="14"/>
        <v>0</v>
      </c>
      <c r="AW39" s="151">
        <f t="shared" si="14"/>
        <v>0</v>
      </c>
      <c r="AX39" s="151">
        <f t="shared" si="14"/>
        <v>0</v>
      </c>
      <c r="AY39" s="151">
        <f t="shared" si="14"/>
        <v>0</v>
      </c>
      <c r="AZ39" s="150">
        <f t="shared" si="14"/>
        <v>0</v>
      </c>
    </row>
    <row r="40" spans="1:52" ht="12.75">
      <c r="A40" s="90"/>
      <c r="B40" s="91"/>
      <c r="C40" s="92"/>
      <c r="D40" s="78"/>
      <c r="E40" s="93"/>
      <c r="F40" s="98">
        <f t="shared" si="15"/>
        <v>0</v>
      </c>
      <c r="G40" s="86"/>
      <c r="H40" s="98">
        <f t="shared" si="16"/>
        <v>0</v>
      </c>
      <c r="I40" s="94"/>
      <c r="J40" s="99">
        <f>IF(I40="NJ",0,IF(I40&lt;'Scoring Tables'!$S$4,0,VLOOKUP(I40,T_Long,11,TRUE)))</f>
        <v>0</v>
      </c>
      <c r="K40" s="94"/>
      <c r="L40" s="99">
        <f>IF(K40="NT",0,IF(K40&lt;'Scoring Tables'!$X$14,0,VLOOKUP(K40,T_Javlin,6,TRUE)))</f>
        <v>0</v>
      </c>
      <c r="M40" s="100">
        <f>(LARGE((F40,H40),1)+J40+L40)</f>
        <v>0</v>
      </c>
      <c r="N40" s="101">
        <f t="shared" si="17"/>
      </c>
      <c r="O40" s="101">
        <f t="shared" si="12"/>
      </c>
      <c r="P40" s="102">
        <f t="shared" si="18"/>
        <v>0</v>
      </c>
      <c r="Q40" s="103">
        <f t="shared" si="19"/>
        <v>0</v>
      </c>
      <c r="AD40" s="149">
        <f t="shared" si="8"/>
        <v>0</v>
      </c>
      <c r="AE40" s="150">
        <f t="shared" si="9"/>
        <v>0</v>
      </c>
      <c r="AF40" s="149">
        <f t="shared" si="20"/>
        <v>0</v>
      </c>
      <c r="AG40" s="151">
        <f t="shared" si="14"/>
        <v>0</v>
      </c>
      <c r="AH40" s="151">
        <f t="shared" si="14"/>
        <v>0</v>
      </c>
      <c r="AI40" s="151">
        <f t="shared" si="14"/>
        <v>0</v>
      </c>
      <c r="AJ40" s="151">
        <f t="shared" si="14"/>
        <v>0</v>
      </c>
      <c r="AK40" s="151">
        <f t="shared" si="14"/>
        <v>0</v>
      </c>
      <c r="AL40" s="151">
        <f t="shared" si="14"/>
        <v>0</v>
      </c>
      <c r="AM40" s="151">
        <f t="shared" si="14"/>
        <v>0</v>
      </c>
      <c r="AN40" s="151">
        <f t="shared" si="14"/>
        <v>0</v>
      </c>
      <c r="AO40" s="151">
        <f t="shared" si="14"/>
        <v>0</v>
      </c>
      <c r="AP40" s="151">
        <f t="shared" si="14"/>
        <v>0</v>
      </c>
      <c r="AQ40" s="151">
        <f t="shared" si="14"/>
        <v>0</v>
      </c>
      <c r="AR40" s="151">
        <f t="shared" si="14"/>
        <v>0</v>
      </c>
      <c r="AS40" s="151">
        <f t="shared" si="14"/>
        <v>0</v>
      </c>
      <c r="AT40" s="151">
        <f t="shared" si="14"/>
        <v>0</v>
      </c>
      <c r="AU40" s="151">
        <f t="shared" si="14"/>
        <v>0</v>
      </c>
      <c r="AV40" s="151">
        <f t="shared" si="14"/>
        <v>0</v>
      </c>
      <c r="AW40" s="151">
        <f t="shared" si="14"/>
        <v>0</v>
      </c>
      <c r="AX40" s="151">
        <f t="shared" si="14"/>
        <v>0</v>
      </c>
      <c r="AY40" s="151">
        <f t="shared" si="14"/>
        <v>0</v>
      </c>
      <c r="AZ40" s="150">
        <f t="shared" si="14"/>
        <v>0</v>
      </c>
    </row>
    <row r="41" spans="1:52" ht="12.75">
      <c r="A41" s="90"/>
      <c r="B41" s="91"/>
      <c r="C41" s="92"/>
      <c r="D41" s="78"/>
      <c r="E41" s="93"/>
      <c r="F41" s="98">
        <f t="shared" si="15"/>
        <v>0</v>
      </c>
      <c r="G41" s="86"/>
      <c r="H41" s="98">
        <f t="shared" si="16"/>
        <v>0</v>
      </c>
      <c r="I41" s="94"/>
      <c r="J41" s="99">
        <f>IF(I41="NJ",0,IF(I41&lt;'Scoring Tables'!$S$4,0,VLOOKUP(I41,T_Long,11,TRUE)))</f>
        <v>0</v>
      </c>
      <c r="K41" s="94"/>
      <c r="L41" s="99">
        <f>IF(K41="NT",0,IF(K41&lt;'Scoring Tables'!$X$14,0,VLOOKUP(K41,T_Javlin,6,TRUE)))</f>
        <v>0</v>
      </c>
      <c r="M41" s="100">
        <f>(LARGE((F41,H41),1)+J41+L41)</f>
        <v>0</v>
      </c>
      <c r="N41" s="101">
        <f t="shared" si="17"/>
      </c>
      <c r="O41" s="101">
        <f t="shared" si="12"/>
      </c>
      <c r="P41" s="102">
        <f t="shared" si="18"/>
        <v>0</v>
      </c>
      <c r="Q41" s="103">
        <f t="shared" si="19"/>
        <v>0</v>
      </c>
      <c r="AD41" s="149">
        <f t="shared" si="8"/>
        <v>0</v>
      </c>
      <c r="AE41" s="150">
        <f t="shared" si="9"/>
        <v>0</v>
      </c>
      <c r="AF41" s="149">
        <f t="shared" si="20"/>
        <v>0</v>
      </c>
      <c r="AG41" s="151">
        <f t="shared" si="14"/>
        <v>0</v>
      </c>
      <c r="AH41" s="151">
        <f t="shared" si="14"/>
        <v>0</v>
      </c>
      <c r="AI41" s="151">
        <f t="shared" si="14"/>
        <v>0</v>
      </c>
      <c r="AJ41" s="151">
        <f t="shared" si="14"/>
        <v>0</v>
      </c>
      <c r="AK41" s="151">
        <f t="shared" si="14"/>
        <v>0</v>
      </c>
      <c r="AL41" s="151">
        <f t="shared" si="14"/>
        <v>0</v>
      </c>
      <c r="AM41" s="151">
        <f t="shared" si="14"/>
        <v>0</v>
      </c>
      <c r="AN41" s="151">
        <f t="shared" si="14"/>
        <v>0</v>
      </c>
      <c r="AO41" s="151">
        <f t="shared" si="14"/>
        <v>0</v>
      </c>
      <c r="AP41" s="151">
        <f t="shared" si="14"/>
        <v>0</v>
      </c>
      <c r="AQ41" s="151">
        <f t="shared" si="14"/>
        <v>0</v>
      </c>
      <c r="AR41" s="151">
        <f t="shared" si="14"/>
        <v>0</v>
      </c>
      <c r="AS41" s="151">
        <f t="shared" si="14"/>
        <v>0</v>
      </c>
      <c r="AT41" s="151">
        <f t="shared" si="14"/>
        <v>0</v>
      </c>
      <c r="AU41" s="151">
        <f t="shared" si="14"/>
        <v>0</v>
      </c>
      <c r="AV41" s="151">
        <f t="shared" si="14"/>
        <v>0</v>
      </c>
      <c r="AW41" s="151">
        <f t="shared" si="14"/>
        <v>0</v>
      </c>
      <c r="AX41" s="151">
        <f t="shared" si="14"/>
        <v>0</v>
      </c>
      <c r="AY41" s="151">
        <f t="shared" si="14"/>
        <v>0</v>
      </c>
      <c r="AZ41" s="150">
        <f t="shared" si="14"/>
        <v>0</v>
      </c>
    </row>
    <row r="42" spans="1:52" ht="12.75">
      <c r="A42" s="90"/>
      <c r="B42" s="91"/>
      <c r="C42" s="92"/>
      <c r="D42" s="78"/>
      <c r="E42" s="93"/>
      <c r="F42" s="98">
        <f t="shared" si="15"/>
        <v>0</v>
      </c>
      <c r="G42" s="86"/>
      <c r="H42" s="98">
        <f t="shared" si="16"/>
        <v>0</v>
      </c>
      <c r="I42" s="94"/>
      <c r="J42" s="99">
        <f>IF(I42="NJ",0,IF(I42&lt;'Scoring Tables'!$S$4,0,VLOOKUP(I42,T_Long,11,TRUE)))</f>
        <v>0</v>
      </c>
      <c r="K42" s="94"/>
      <c r="L42" s="99">
        <f>IF(K42="NT",0,IF(K42&lt;'Scoring Tables'!$X$14,0,VLOOKUP(K42,T_Javlin,6,TRUE)))</f>
        <v>0</v>
      </c>
      <c r="M42" s="100">
        <f>(LARGE((F42,H42),1)+J42+L42)</f>
        <v>0</v>
      </c>
      <c r="N42" s="101">
        <f t="shared" si="17"/>
      </c>
      <c r="O42" s="101">
        <f t="shared" si="12"/>
      </c>
      <c r="P42" s="102">
        <f t="shared" si="18"/>
        <v>0</v>
      </c>
      <c r="Q42" s="103">
        <f t="shared" si="19"/>
        <v>0</v>
      </c>
      <c r="AD42" s="149">
        <f t="shared" si="8"/>
        <v>0</v>
      </c>
      <c r="AE42" s="150">
        <f t="shared" si="9"/>
        <v>0</v>
      </c>
      <c r="AF42" s="149">
        <f t="shared" si="20"/>
        <v>0</v>
      </c>
      <c r="AG42" s="151">
        <f t="shared" si="14"/>
        <v>0</v>
      </c>
      <c r="AH42" s="151">
        <f t="shared" si="14"/>
        <v>0</v>
      </c>
      <c r="AI42" s="151">
        <f t="shared" si="14"/>
        <v>0</v>
      </c>
      <c r="AJ42" s="151">
        <f t="shared" si="14"/>
        <v>0</v>
      </c>
      <c r="AK42" s="151">
        <f t="shared" si="14"/>
        <v>0</v>
      </c>
      <c r="AL42" s="151">
        <f t="shared" si="14"/>
        <v>0</v>
      </c>
      <c r="AM42" s="151">
        <f t="shared" si="14"/>
        <v>0</v>
      </c>
      <c r="AN42" s="151">
        <f t="shared" si="14"/>
        <v>0</v>
      </c>
      <c r="AO42" s="151">
        <f t="shared" si="14"/>
        <v>0</v>
      </c>
      <c r="AP42" s="151">
        <f t="shared" si="14"/>
        <v>0</v>
      </c>
      <c r="AQ42" s="151">
        <f t="shared" si="14"/>
        <v>0</v>
      </c>
      <c r="AR42" s="151">
        <f t="shared" si="14"/>
        <v>0</v>
      </c>
      <c r="AS42" s="151">
        <f t="shared" si="14"/>
        <v>0</v>
      </c>
      <c r="AT42" s="151">
        <f t="shared" si="14"/>
        <v>0</v>
      </c>
      <c r="AU42" s="151">
        <f t="shared" si="14"/>
        <v>0</v>
      </c>
      <c r="AV42" s="151">
        <f t="shared" si="14"/>
        <v>0</v>
      </c>
      <c r="AW42" s="151">
        <f t="shared" si="14"/>
        <v>0</v>
      </c>
      <c r="AX42" s="151">
        <f t="shared" si="14"/>
        <v>0</v>
      </c>
      <c r="AY42" s="151">
        <f t="shared" si="14"/>
        <v>0</v>
      </c>
      <c r="AZ42" s="150">
        <f t="shared" si="14"/>
        <v>0</v>
      </c>
    </row>
    <row r="43" spans="1:52" ht="12.75">
      <c r="A43" s="90"/>
      <c r="B43" s="91"/>
      <c r="C43" s="92"/>
      <c r="D43" s="78"/>
      <c r="E43" s="93"/>
      <c r="F43" s="98">
        <f t="shared" si="15"/>
        <v>0</v>
      </c>
      <c r="G43" s="86"/>
      <c r="H43" s="98">
        <f t="shared" si="16"/>
        <v>0</v>
      </c>
      <c r="I43" s="94"/>
      <c r="J43" s="99">
        <f>IF(I43="NJ",0,IF(I43&lt;'Scoring Tables'!$S$4,0,VLOOKUP(I43,T_Long,11,TRUE)))</f>
        <v>0</v>
      </c>
      <c r="K43" s="94"/>
      <c r="L43" s="99">
        <f>IF(K43="NT",0,IF(K43&lt;'Scoring Tables'!$X$14,0,VLOOKUP(K43,T_Javlin,6,TRUE)))</f>
        <v>0</v>
      </c>
      <c r="M43" s="100">
        <f>(LARGE((F43,H43),1)+J43+L43)</f>
        <v>0</v>
      </c>
      <c r="N43" s="101">
        <f t="shared" si="17"/>
      </c>
      <c r="O43" s="101">
        <f t="shared" si="12"/>
      </c>
      <c r="P43" s="102">
        <f t="shared" si="18"/>
        <v>0</v>
      </c>
      <c r="Q43" s="103">
        <f t="shared" si="19"/>
        <v>0</v>
      </c>
      <c r="AD43" s="149">
        <f t="shared" si="8"/>
        <v>0</v>
      </c>
      <c r="AE43" s="150">
        <f t="shared" si="9"/>
        <v>0</v>
      </c>
      <c r="AF43" s="149">
        <f t="shared" si="20"/>
        <v>0</v>
      </c>
      <c r="AG43" s="151">
        <f aca="true" t="shared" si="21" ref="AG43:AZ51">IF($D43=AG$1,$M43,0)</f>
        <v>0</v>
      </c>
      <c r="AH43" s="151">
        <f t="shared" si="21"/>
        <v>0</v>
      </c>
      <c r="AI43" s="151">
        <f t="shared" si="21"/>
        <v>0</v>
      </c>
      <c r="AJ43" s="151">
        <f t="shared" si="21"/>
        <v>0</v>
      </c>
      <c r="AK43" s="151">
        <f t="shared" si="21"/>
        <v>0</v>
      </c>
      <c r="AL43" s="151">
        <f t="shared" si="21"/>
        <v>0</v>
      </c>
      <c r="AM43" s="151">
        <f t="shared" si="21"/>
        <v>0</v>
      </c>
      <c r="AN43" s="151">
        <f t="shared" si="21"/>
        <v>0</v>
      </c>
      <c r="AO43" s="151">
        <f t="shared" si="21"/>
        <v>0</v>
      </c>
      <c r="AP43" s="151">
        <f t="shared" si="21"/>
        <v>0</v>
      </c>
      <c r="AQ43" s="151">
        <f t="shared" si="21"/>
        <v>0</v>
      </c>
      <c r="AR43" s="151">
        <f t="shared" si="21"/>
        <v>0</v>
      </c>
      <c r="AS43" s="151">
        <f t="shared" si="21"/>
        <v>0</v>
      </c>
      <c r="AT43" s="151">
        <f t="shared" si="21"/>
        <v>0</v>
      </c>
      <c r="AU43" s="151">
        <f t="shared" si="21"/>
        <v>0</v>
      </c>
      <c r="AV43" s="151">
        <f t="shared" si="21"/>
        <v>0</v>
      </c>
      <c r="AW43" s="151">
        <f t="shared" si="21"/>
        <v>0</v>
      </c>
      <c r="AX43" s="151">
        <f t="shared" si="21"/>
        <v>0</v>
      </c>
      <c r="AY43" s="151">
        <f t="shared" si="21"/>
        <v>0</v>
      </c>
      <c r="AZ43" s="150">
        <f t="shared" si="21"/>
        <v>0</v>
      </c>
    </row>
    <row r="44" spans="1:52" ht="12.75">
      <c r="A44" s="90"/>
      <c r="B44" s="91"/>
      <c r="C44" s="92"/>
      <c r="D44" s="78"/>
      <c r="E44" s="93"/>
      <c r="F44" s="98">
        <f t="shared" si="15"/>
        <v>0</v>
      </c>
      <c r="G44" s="86"/>
      <c r="H44" s="98">
        <f t="shared" si="16"/>
        <v>0</v>
      </c>
      <c r="I44" s="94"/>
      <c r="J44" s="99">
        <f>IF(I44="NJ",0,IF(I44&lt;'Scoring Tables'!$S$4,0,VLOOKUP(I44,T_Long,11,TRUE)))</f>
        <v>0</v>
      </c>
      <c r="K44" s="94"/>
      <c r="L44" s="99">
        <f>IF(K44="NT",0,IF(K44&lt;'Scoring Tables'!$X$14,0,VLOOKUP(K44,T_Javlin,6,TRUE)))</f>
        <v>0</v>
      </c>
      <c r="M44" s="100">
        <f>(LARGE((F44,H44),1)+J44+L44)</f>
        <v>0</v>
      </c>
      <c r="N44" s="101">
        <f t="shared" si="17"/>
      </c>
      <c r="O44" s="101">
        <f t="shared" si="12"/>
      </c>
      <c r="P44" s="102">
        <f t="shared" si="18"/>
        <v>0</v>
      </c>
      <c r="Q44" s="103">
        <f t="shared" si="19"/>
        <v>0</v>
      </c>
      <c r="AD44" s="149">
        <f t="shared" si="8"/>
        <v>0</v>
      </c>
      <c r="AE44" s="150">
        <f t="shared" si="9"/>
        <v>0</v>
      </c>
      <c r="AF44" s="149">
        <f t="shared" si="20"/>
        <v>0</v>
      </c>
      <c r="AG44" s="151">
        <f t="shared" si="21"/>
        <v>0</v>
      </c>
      <c r="AH44" s="151">
        <f t="shared" si="21"/>
        <v>0</v>
      </c>
      <c r="AI44" s="151">
        <f t="shared" si="21"/>
        <v>0</v>
      </c>
      <c r="AJ44" s="151">
        <f t="shared" si="21"/>
        <v>0</v>
      </c>
      <c r="AK44" s="151">
        <f t="shared" si="21"/>
        <v>0</v>
      </c>
      <c r="AL44" s="151">
        <f t="shared" si="21"/>
        <v>0</v>
      </c>
      <c r="AM44" s="151">
        <f t="shared" si="21"/>
        <v>0</v>
      </c>
      <c r="AN44" s="151">
        <f t="shared" si="21"/>
        <v>0</v>
      </c>
      <c r="AO44" s="151">
        <f t="shared" si="21"/>
        <v>0</v>
      </c>
      <c r="AP44" s="151">
        <f t="shared" si="21"/>
        <v>0</v>
      </c>
      <c r="AQ44" s="151">
        <f t="shared" si="21"/>
        <v>0</v>
      </c>
      <c r="AR44" s="151">
        <f t="shared" si="21"/>
        <v>0</v>
      </c>
      <c r="AS44" s="151">
        <f t="shared" si="21"/>
        <v>0</v>
      </c>
      <c r="AT44" s="151">
        <f t="shared" si="21"/>
        <v>0</v>
      </c>
      <c r="AU44" s="151">
        <f t="shared" si="21"/>
        <v>0</v>
      </c>
      <c r="AV44" s="151">
        <f t="shared" si="21"/>
        <v>0</v>
      </c>
      <c r="AW44" s="151">
        <f t="shared" si="21"/>
        <v>0</v>
      </c>
      <c r="AX44" s="151">
        <f t="shared" si="21"/>
        <v>0</v>
      </c>
      <c r="AY44" s="151">
        <f t="shared" si="21"/>
        <v>0</v>
      </c>
      <c r="AZ44" s="150">
        <f t="shared" si="21"/>
        <v>0</v>
      </c>
    </row>
    <row r="45" spans="1:52" ht="12.75">
      <c r="A45" s="90"/>
      <c r="B45" s="91"/>
      <c r="C45" s="92"/>
      <c r="D45" s="78"/>
      <c r="E45" s="93"/>
      <c r="F45" s="98">
        <f t="shared" si="15"/>
        <v>0</v>
      </c>
      <c r="G45" s="86"/>
      <c r="H45" s="98">
        <f t="shared" si="16"/>
        <v>0</v>
      </c>
      <c r="I45" s="94"/>
      <c r="J45" s="99">
        <f>IF(I45="NJ",0,IF(I45&lt;'Scoring Tables'!$S$4,0,VLOOKUP(I45,T_Long,11,TRUE)))</f>
        <v>0</v>
      </c>
      <c r="K45" s="94"/>
      <c r="L45" s="99">
        <f>IF(K45="NT",0,IF(K45&lt;'Scoring Tables'!$X$14,0,VLOOKUP(K45,T_Javlin,6,TRUE)))</f>
        <v>0</v>
      </c>
      <c r="M45" s="100">
        <f>(LARGE((F45,H45),1)+J45+L45)</f>
        <v>0</v>
      </c>
      <c r="N45" s="101">
        <f t="shared" si="17"/>
      </c>
      <c r="O45" s="101">
        <f t="shared" si="12"/>
      </c>
      <c r="P45" s="102">
        <f t="shared" si="18"/>
        <v>0</v>
      </c>
      <c r="Q45" s="103">
        <f t="shared" si="19"/>
        <v>0</v>
      </c>
      <c r="AD45" s="149">
        <f t="shared" si="8"/>
        <v>0</v>
      </c>
      <c r="AE45" s="150">
        <f t="shared" si="9"/>
        <v>0</v>
      </c>
      <c r="AF45" s="149">
        <f t="shared" si="20"/>
        <v>0</v>
      </c>
      <c r="AG45" s="151">
        <f t="shared" si="21"/>
        <v>0</v>
      </c>
      <c r="AH45" s="151">
        <f t="shared" si="21"/>
        <v>0</v>
      </c>
      <c r="AI45" s="151">
        <f t="shared" si="21"/>
        <v>0</v>
      </c>
      <c r="AJ45" s="151">
        <f t="shared" si="21"/>
        <v>0</v>
      </c>
      <c r="AK45" s="151">
        <f t="shared" si="21"/>
        <v>0</v>
      </c>
      <c r="AL45" s="151">
        <f t="shared" si="21"/>
        <v>0</v>
      </c>
      <c r="AM45" s="151">
        <f t="shared" si="21"/>
        <v>0</v>
      </c>
      <c r="AN45" s="151">
        <f t="shared" si="21"/>
        <v>0</v>
      </c>
      <c r="AO45" s="151">
        <f t="shared" si="21"/>
        <v>0</v>
      </c>
      <c r="AP45" s="151">
        <f t="shared" si="21"/>
        <v>0</v>
      </c>
      <c r="AQ45" s="151">
        <f t="shared" si="21"/>
        <v>0</v>
      </c>
      <c r="AR45" s="151">
        <f t="shared" si="21"/>
        <v>0</v>
      </c>
      <c r="AS45" s="151">
        <f t="shared" si="21"/>
        <v>0</v>
      </c>
      <c r="AT45" s="151">
        <f t="shared" si="21"/>
        <v>0</v>
      </c>
      <c r="AU45" s="151">
        <f t="shared" si="21"/>
        <v>0</v>
      </c>
      <c r="AV45" s="151">
        <f t="shared" si="21"/>
        <v>0</v>
      </c>
      <c r="AW45" s="151">
        <f t="shared" si="21"/>
        <v>0</v>
      </c>
      <c r="AX45" s="151">
        <f t="shared" si="21"/>
        <v>0</v>
      </c>
      <c r="AY45" s="151">
        <f t="shared" si="21"/>
        <v>0</v>
      </c>
      <c r="AZ45" s="150">
        <f t="shared" si="21"/>
        <v>0</v>
      </c>
    </row>
    <row r="46" spans="1:52" ht="12.75">
      <c r="A46" s="90"/>
      <c r="B46" s="91"/>
      <c r="C46" s="92"/>
      <c r="D46" s="78"/>
      <c r="E46" s="93"/>
      <c r="F46" s="98">
        <f t="shared" si="15"/>
        <v>0</v>
      </c>
      <c r="G46" s="86"/>
      <c r="H46" s="98">
        <f t="shared" si="16"/>
        <v>0</v>
      </c>
      <c r="I46" s="94"/>
      <c r="J46" s="99">
        <f>IF(I46="NJ",0,IF(I46&lt;'Scoring Tables'!$S$4,0,VLOOKUP(I46,T_Long,11,TRUE)))</f>
        <v>0</v>
      </c>
      <c r="K46" s="94"/>
      <c r="L46" s="99">
        <f>IF(K46="NT",0,IF(K46&lt;'Scoring Tables'!$X$14,0,VLOOKUP(K46,T_Javlin,6,TRUE)))</f>
        <v>0</v>
      </c>
      <c r="M46" s="100">
        <f>(LARGE((F46,H46),1)+J46+L46)</f>
        <v>0</v>
      </c>
      <c r="N46" s="101">
        <f t="shared" si="17"/>
      </c>
      <c r="O46" s="101">
        <f t="shared" si="12"/>
      </c>
      <c r="P46" s="102">
        <f t="shared" si="18"/>
        <v>0</v>
      </c>
      <c r="Q46" s="103">
        <f t="shared" si="19"/>
        <v>0</v>
      </c>
      <c r="AD46" s="149">
        <f t="shared" si="8"/>
        <v>0</v>
      </c>
      <c r="AE46" s="150">
        <f t="shared" si="9"/>
        <v>0</v>
      </c>
      <c r="AF46" s="149">
        <f t="shared" si="20"/>
        <v>0</v>
      </c>
      <c r="AG46" s="151">
        <f t="shared" si="21"/>
        <v>0</v>
      </c>
      <c r="AH46" s="151">
        <f t="shared" si="21"/>
        <v>0</v>
      </c>
      <c r="AI46" s="151">
        <f t="shared" si="21"/>
        <v>0</v>
      </c>
      <c r="AJ46" s="151">
        <f t="shared" si="21"/>
        <v>0</v>
      </c>
      <c r="AK46" s="151">
        <f t="shared" si="21"/>
        <v>0</v>
      </c>
      <c r="AL46" s="151">
        <f t="shared" si="21"/>
        <v>0</v>
      </c>
      <c r="AM46" s="151">
        <f t="shared" si="21"/>
        <v>0</v>
      </c>
      <c r="AN46" s="151">
        <f t="shared" si="21"/>
        <v>0</v>
      </c>
      <c r="AO46" s="151">
        <f t="shared" si="21"/>
        <v>0</v>
      </c>
      <c r="AP46" s="151">
        <f t="shared" si="21"/>
        <v>0</v>
      </c>
      <c r="AQ46" s="151">
        <f t="shared" si="21"/>
        <v>0</v>
      </c>
      <c r="AR46" s="151">
        <f t="shared" si="21"/>
        <v>0</v>
      </c>
      <c r="AS46" s="151">
        <f t="shared" si="21"/>
        <v>0</v>
      </c>
      <c r="AT46" s="151">
        <f t="shared" si="21"/>
        <v>0</v>
      </c>
      <c r="AU46" s="151">
        <f t="shared" si="21"/>
        <v>0</v>
      </c>
      <c r="AV46" s="151">
        <f t="shared" si="21"/>
        <v>0</v>
      </c>
      <c r="AW46" s="151">
        <f t="shared" si="21"/>
        <v>0</v>
      </c>
      <c r="AX46" s="151">
        <f t="shared" si="21"/>
        <v>0</v>
      </c>
      <c r="AY46" s="151">
        <f t="shared" si="21"/>
        <v>0</v>
      </c>
      <c r="AZ46" s="150">
        <f t="shared" si="21"/>
        <v>0</v>
      </c>
    </row>
    <row r="47" spans="1:52" ht="12.75">
      <c r="A47" s="90"/>
      <c r="B47" s="91"/>
      <c r="C47" s="92"/>
      <c r="D47" s="78"/>
      <c r="E47" s="93"/>
      <c r="F47" s="98">
        <f t="shared" si="15"/>
        <v>0</v>
      </c>
      <c r="G47" s="86"/>
      <c r="H47" s="98">
        <f t="shared" si="16"/>
        <v>0</v>
      </c>
      <c r="I47" s="94"/>
      <c r="J47" s="99">
        <f>IF(I47="NJ",0,IF(I47&lt;'Scoring Tables'!$S$4,0,VLOOKUP(I47,T_Long,11,TRUE)))</f>
        <v>0</v>
      </c>
      <c r="K47" s="94"/>
      <c r="L47" s="99">
        <f>IF(K47="NT",0,IF(K47&lt;'Scoring Tables'!$X$14,0,VLOOKUP(K47,T_Javlin,6,TRUE)))</f>
        <v>0</v>
      </c>
      <c r="M47" s="100">
        <f>(LARGE((F47,H47),1)+J47+L47)</f>
        <v>0</v>
      </c>
      <c r="N47" s="101">
        <f t="shared" si="17"/>
      </c>
      <c r="O47" s="101">
        <f t="shared" si="12"/>
      </c>
      <c r="P47" s="102">
        <f t="shared" si="18"/>
        <v>0</v>
      </c>
      <c r="Q47" s="103">
        <f t="shared" si="19"/>
        <v>0</v>
      </c>
      <c r="AD47" s="149">
        <f t="shared" si="8"/>
        <v>0</v>
      </c>
      <c r="AE47" s="150">
        <f t="shared" si="9"/>
        <v>0</v>
      </c>
      <c r="AF47" s="149">
        <f t="shared" si="20"/>
        <v>0</v>
      </c>
      <c r="AG47" s="151">
        <f t="shared" si="21"/>
        <v>0</v>
      </c>
      <c r="AH47" s="151">
        <f t="shared" si="21"/>
        <v>0</v>
      </c>
      <c r="AI47" s="151">
        <f t="shared" si="21"/>
        <v>0</v>
      </c>
      <c r="AJ47" s="151">
        <f t="shared" si="21"/>
        <v>0</v>
      </c>
      <c r="AK47" s="151">
        <f t="shared" si="21"/>
        <v>0</v>
      </c>
      <c r="AL47" s="151">
        <f t="shared" si="21"/>
        <v>0</v>
      </c>
      <c r="AM47" s="151">
        <f t="shared" si="21"/>
        <v>0</v>
      </c>
      <c r="AN47" s="151">
        <f t="shared" si="21"/>
        <v>0</v>
      </c>
      <c r="AO47" s="151">
        <f t="shared" si="21"/>
        <v>0</v>
      </c>
      <c r="AP47" s="151">
        <f t="shared" si="21"/>
        <v>0</v>
      </c>
      <c r="AQ47" s="151">
        <f t="shared" si="21"/>
        <v>0</v>
      </c>
      <c r="AR47" s="151">
        <f t="shared" si="21"/>
        <v>0</v>
      </c>
      <c r="AS47" s="151">
        <f t="shared" si="21"/>
        <v>0</v>
      </c>
      <c r="AT47" s="151">
        <f t="shared" si="21"/>
        <v>0</v>
      </c>
      <c r="AU47" s="151">
        <f t="shared" si="21"/>
        <v>0</v>
      </c>
      <c r="AV47" s="151">
        <f t="shared" si="21"/>
        <v>0</v>
      </c>
      <c r="AW47" s="151">
        <f t="shared" si="21"/>
        <v>0</v>
      </c>
      <c r="AX47" s="151">
        <f t="shared" si="21"/>
        <v>0</v>
      </c>
      <c r="AY47" s="151">
        <f t="shared" si="21"/>
        <v>0</v>
      </c>
      <c r="AZ47" s="150">
        <f t="shared" si="21"/>
        <v>0</v>
      </c>
    </row>
    <row r="48" spans="1:52" ht="12.75">
      <c r="A48" s="90"/>
      <c r="B48" s="91"/>
      <c r="C48" s="92"/>
      <c r="D48" s="78"/>
      <c r="E48" s="93"/>
      <c r="F48" s="98">
        <f t="shared" si="15"/>
        <v>0</v>
      </c>
      <c r="G48" s="86"/>
      <c r="H48" s="98">
        <f t="shared" si="16"/>
        <v>0</v>
      </c>
      <c r="I48" s="94"/>
      <c r="J48" s="99">
        <f>IF(I48="NJ",0,IF(I48&lt;'Scoring Tables'!$S$4,0,VLOOKUP(I48,T_Long,11,TRUE)))</f>
        <v>0</v>
      </c>
      <c r="K48" s="94"/>
      <c r="L48" s="99">
        <f>IF(K48="NT",0,IF(K48&lt;'Scoring Tables'!$X$14,0,VLOOKUP(K48,T_Javlin,6,TRUE)))</f>
        <v>0</v>
      </c>
      <c r="M48" s="100">
        <f>(LARGE((F48,H48),1)+J48+L48)</f>
        <v>0</v>
      </c>
      <c r="N48" s="101">
        <f t="shared" si="17"/>
      </c>
      <c r="O48" s="101">
        <f t="shared" si="12"/>
      </c>
      <c r="P48" s="102">
        <f t="shared" si="18"/>
        <v>0</v>
      </c>
      <c r="Q48" s="103">
        <f t="shared" si="19"/>
        <v>0</v>
      </c>
      <c r="AD48" s="149">
        <f t="shared" si="8"/>
        <v>0</v>
      </c>
      <c r="AE48" s="150">
        <f t="shared" si="9"/>
        <v>0</v>
      </c>
      <c r="AF48" s="149">
        <f t="shared" si="20"/>
        <v>0</v>
      </c>
      <c r="AG48" s="151">
        <f t="shared" si="21"/>
        <v>0</v>
      </c>
      <c r="AH48" s="151">
        <f t="shared" si="21"/>
        <v>0</v>
      </c>
      <c r="AI48" s="151">
        <f t="shared" si="21"/>
        <v>0</v>
      </c>
      <c r="AJ48" s="151">
        <f t="shared" si="21"/>
        <v>0</v>
      </c>
      <c r="AK48" s="151">
        <f t="shared" si="21"/>
        <v>0</v>
      </c>
      <c r="AL48" s="151">
        <f t="shared" si="21"/>
        <v>0</v>
      </c>
      <c r="AM48" s="151">
        <f t="shared" si="21"/>
        <v>0</v>
      </c>
      <c r="AN48" s="151">
        <f t="shared" si="21"/>
        <v>0</v>
      </c>
      <c r="AO48" s="151">
        <f t="shared" si="21"/>
        <v>0</v>
      </c>
      <c r="AP48" s="151">
        <f t="shared" si="21"/>
        <v>0</v>
      </c>
      <c r="AQ48" s="151">
        <f t="shared" si="21"/>
        <v>0</v>
      </c>
      <c r="AR48" s="151">
        <f t="shared" si="21"/>
        <v>0</v>
      </c>
      <c r="AS48" s="151">
        <f t="shared" si="21"/>
        <v>0</v>
      </c>
      <c r="AT48" s="151">
        <f t="shared" si="21"/>
        <v>0</v>
      </c>
      <c r="AU48" s="151">
        <f t="shared" si="21"/>
        <v>0</v>
      </c>
      <c r="AV48" s="151">
        <f t="shared" si="21"/>
        <v>0</v>
      </c>
      <c r="AW48" s="151">
        <f t="shared" si="21"/>
        <v>0</v>
      </c>
      <c r="AX48" s="151">
        <f t="shared" si="21"/>
        <v>0</v>
      </c>
      <c r="AY48" s="151">
        <f t="shared" si="21"/>
        <v>0</v>
      </c>
      <c r="AZ48" s="150">
        <f t="shared" si="21"/>
        <v>0</v>
      </c>
    </row>
    <row r="49" spans="1:52" ht="12.75">
      <c r="A49" s="90"/>
      <c r="B49" s="91"/>
      <c r="C49" s="92"/>
      <c r="D49" s="78"/>
      <c r="E49" s="93"/>
      <c r="F49" s="98">
        <f t="shared" si="15"/>
        <v>0</v>
      </c>
      <c r="G49" s="86"/>
      <c r="H49" s="98">
        <f t="shared" si="16"/>
        <v>0</v>
      </c>
      <c r="I49" s="94"/>
      <c r="J49" s="99">
        <f>IF(I49="NJ",0,IF(I49&lt;'Scoring Tables'!$S$4,0,VLOOKUP(I49,T_Long,11,TRUE)))</f>
        <v>0</v>
      </c>
      <c r="K49" s="94"/>
      <c r="L49" s="99">
        <f>IF(K49="NT",0,IF(K49&lt;'Scoring Tables'!$X$14,0,VLOOKUP(K49,T_Javlin,6,TRUE)))</f>
        <v>0</v>
      </c>
      <c r="M49" s="100">
        <f>(LARGE((F49,H49),1)+J49+L49)</f>
        <v>0</v>
      </c>
      <c r="N49" s="101">
        <f t="shared" si="17"/>
      </c>
      <c r="O49" s="101">
        <f t="shared" si="12"/>
      </c>
      <c r="P49" s="102">
        <f t="shared" si="18"/>
        <v>0</v>
      </c>
      <c r="Q49" s="103">
        <f t="shared" si="19"/>
        <v>0</v>
      </c>
      <c r="AD49" s="149">
        <f t="shared" si="8"/>
        <v>0</v>
      </c>
      <c r="AE49" s="150">
        <f t="shared" si="9"/>
        <v>0</v>
      </c>
      <c r="AF49" s="149">
        <f t="shared" si="20"/>
        <v>0</v>
      </c>
      <c r="AG49" s="151">
        <f t="shared" si="21"/>
        <v>0</v>
      </c>
      <c r="AH49" s="151">
        <f t="shared" si="21"/>
        <v>0</v>
      </c>
      <c r="AI49" s="151">
        <f t="shared" si="21"/>
        <v>0</v>
      </c>
      <c r="AJ49" s="151">
        <f t="shared" si="21"/>
        <v>0</v>
      </c>
      <c r="AK49" s="151">
        <f t="shared" si="21"/>
        <v>0</v>
      </c>
      <c r="AL49" s="151">
        <f t="shared" si="21"/>
        <v>0</v>
      </c>
      <c r="AM49" s="151">
        <f t="shared" si="21"/>
        <v>0</v>
      </c>
      <c r="AN49" s="151">
        <f t="shared" si="21"/>
        <v>0</v>
      </c>
      <c r="AO49" s="151">
        <f t="shared" si="21"/>
        <v>0</v>
      </c>
      <c r="AP49" s="151">
        <f t="shared" si="21"/>
        <v>0</v>
      </c>
      <c r="AQ49" s="151">
        <f t="shared" si="21"/>
        <v>0</v>
      </c>
      <c r="AR49" s="151">
        <f t="shared" si="21"/>
        <v>0</v>
      </c>
      <c r="AS49" s="151">
        <f t="shared" si="21"/>
        <v>0</v>
      </c>
      <c r="AT49" s="151">
        <f t="shared" si="21"/>
        <v>0</v>
      </c>
      <c r="AU49" s="151">
        <f t="shared" si="21"/>
        <v>0</v>
      </c>
      <c r="AV49" s="151">
        <f t="shared" si="21"/>
        <v>0</v>
      </c>
      <c r="AW49" s="151">
        <f t="shared" si="21"/>
        <v>0</v>
      </c>
      <c r="AX49" s="151">
        <f t="shared" si="21"/>
        <v>0</v>
      </c>
      <c r="AY49" s="151">
        <f t="shared" si="21"/>
        <v>0</v>
      </c>
      <c r="AZ49" s="150">
        <f t="shared" si="21"/>
        <v>0</v>
      </c>
    </row>
    <row r="50" spans="1:52" ht="12.75">
      <c r="A50" s="90"/>
      <c r="B50" s="91"/>
      <c r="C50" s="92"/>
      <c r="D50" s="78"/>
      <c r="E50" s="93"/>
      <c r="F50" s="98">
        <f t="shared" si="15"/>
        <v>0</v>
      </c>
      <c r="G50" s="86"/>
      <c r="H50" s="98">
        <f t="shared" si="16"/>
        <v>0</v>
      </c>
      <c r="I50" s="94"/>
      <c r="J50" s="99">
        <f>IF(I50="NJ",0,IF(I50&lt;'Scoring Tables'!$S$4,0,VLOOKUP(I50,T_Long,11,TRUE)))</f>
        <v>0</v>
      </c>
      <c r="K50" s="94"/>
      <c r="L50" s="99">
        <f>IF(K50="NT",0,IF(K50&lt;'Scoring Tables'!$X$14,0,VLOOKUP(K50,T_Javlin,6,TRUE)))</f>
        <v>0</v>
      </c>
      <c r="M50" s="100">
        <f>(LARGE((F50,H50),1)+J50+L50)</f>
        <v>0</v>
      </c>
      <c r="N50" s="101">
        <f t="shared" si="17"/>
      </c>
      <c r="O50" s="101">
        <f t="shared" si="12"/>
      </c>
      <c r="P50" s="102">
        <f t="shared" si="18"/>
        <v>0</v>
      </c>
      <c r="Q50" s="103">
        <f t="shared" si="19"/>
        <v>0</v>
      </c>
      <c r="AD50" s="149">
        <f t="shared" si="8"/>
        <v>0</v>
      </c>
      <c r="AE50" s="150">
        <f t="shared" si="9"/>
        <v>0</v>
      </c>
      <c r="AF50" s="149">
        <f t="shared" si="20"/>
        <v>0</v>
      </c>
      <c r="AG50" s="151">
        <f t="shared" si="21"/>
        <v>0</v>
      </c>
      <c r="AH50" s="151">
        <f t="shared" si="21"/>
        <v>0</v>
      </c>
      <c r="AI50" s="151">
        <f t="shared" si="21"/>
        <v>0</v>
      </c>
      <c r="AJ50" s="151">
        <f t="shared" si="21"/>
        <v>0</v>
      </c>
      <c r="AK50" s="151">
        <f t="shared" si="21"/>
        <v>0</v>
      </c>
      <c r="AL50" s="151">
        <f t="shared" si="21"/>
        <v>0</v>
      </c>
      <c r="AM50" s="151">
        <f t="shared" si="21"/>
        <v>0</v>
      </c>
      <c r="AN50" s="151">
        <f t="shared" si="21"/>
        <v>0</v>
      </c>
      <c r="AO50" s="151">
        <f t="shared" si="21"/>
        <v>0</v>
      </c>
      <c r="AP50" s="151">
        <f t="shared" si="21"/>
        <v>0</v>
      </c>
      <c r="AQ50" s="151">
        <f t="shared" si="21"/>
        <v>0</v>
      </c>
      <c r="AR50" s="151">
        <f t="shared" si="21"/>
        <v>0</v>
      </c>
      <c r="AS50" s="151">
        <f t="shared" si="21"/>
        <v>0</v>
      </c>
      <c r="AT50" s="151">
        <f t="shared" si="21"/>
        <v>0</v>
      </c>
      <c r="AU50" s="151">
        <f t="shared" si="21"/>
        <v>0</v>
      </c>
      <c r="AV50" s="151">
        <f t="shared" si="21"/>
        <v>0</v>
      </c>
      <c r="AW50" s="151">
        <f t="shared" si="21"/>
        <v>0</v>
      </c>
      <c r="AX50" s="151">
        <f t="shared" si="21"/>
        <v>0</v>
      </c>
      <c r="AY50" s="151">
        <f t="shared" si="21"/>
        <v>0</v>
      </c>
      <c r="AZ50" s="150">
        <f t="shared" si="21"/>
        <v>0</v>
      </c>
    </row>
    <row r="51" spans="1:52" ht="12.75">
      <c r="A51" s="90"/>
      <c r="B51" s="91"/>
      <c r="C51" s="92"/>
      <c r="D51" s="78"/>
      <c r="E51" s="93"/>
      <c r="F51" s="98">
        <f t="shared" si="15"/>
        <v>0</v>
      </c>
      <c r="G51" s="86"/>
      <c r="H51" s="98">
        <f t="shared" si="16"/>
        <v>0</v>
      </c>
      <c r="I51" s="94"/>
      <c r="J51" s="99">
        <f>IF(I51="NJ",0,IF(I51&lt;'Scoring Tables'!$S$4,0,VLOOKUP(I51,T_Long,11,TRUE)))</f>
        <v>0</v>
      </c>
      <c r="K51" s="94"/>
      <c r="L51" s="99">
        <f>IF(K51="NT",0,IF(K51&lt;'Scoring Tables'!$X$14,0,VLOOKUP(K51,T_Javlin,6,TRUE)))</f>
        <v>0</v>
      </c>
      <c r="M51" s="100">
        <f>(LARGE((F51,H51),1)+J51+L51)</f>
        <v>0</v>
      </c>
      <c r="N51" s="101">
        <f t="shared" si="17"/>
      </c>
      <c r="O51" s="101">
        <f t="shared" si="12"/>
      </c>
      <c r="P51" s="102">
        <f t="shared" si="18"/>
        <v>0</v>
      </c>
      <c r="Q51" s="103">
        <f t="shared" si="19"/>
        <v>0</v>
      </c>
      <c r="AD51" s="149">
        <f t="shared" si="8"/>
        <v>0</v>
      </c>
      <c r="AE51" s="150">
        <f t="shared" si="9"/>
        <v>0</v>
      </c>
      <c r="AF51" s="149">
        <f t="shared" si="20"/>
        <v>0</v>
      </c>
      <c r="AG51" s="151">
        <f t="shared" si="21"/>
        <v>0</v>
      </c>
      <c r="AH51" s="151">
        <f t="shared" si="21"/>
        <v>0</v>
      </c>
      <c r="AI51" s="151">
        <f t="shared" si="21"/>
        <v>0</v>
      </c>
      <c r="AJ51" s="151">
        <f t="shared" si="21"/>
        <v>0</v>
      </c>
      <c r="AK51" s="151">
        <f t="shared" si="21"/>
        <v>0</v>
      </c>
      <c r="AL51" s="151">
        <f t="shared" si="21"/>
        <v>0</v>
      </c>
      <c r="AM51" s="151">
        <f t="shared" si="21"/>
        <v>0</v>
      </c>
      <c r="AN51" s="151">
        <f t="shared" si="21"/>
        <v>0</v>
      </c>
      <c r="AO51" s="151">
        <f t="shared" si="21"/>
        <v>0</v>
      </c>
      <c r="AP51" s="151">
        <f t="shared" si="21"/>
        <v>0</v>
      </c>
      <c r="AQ51" s="151">
        <f t="shared" si="21"/>
        <v>0</v>
      </c>
      <c r="AR51" s="151">
        <f t="shared" si="21"/>
        <v>0</v>
      </c>
      <c r="AS51" s="151">
        <f t="shared" si="21"/>
        <v>0</v>
      </c>
      <c r="AT51" s="151">
        <f t="shared" si="21"/>
        <v>0</v>
      </c>
      <c r="AU51" s="151">
        <f aca="true" t="shared" si="22" ref="AG51:AZ60">IF($D51=AU$1,$M51,0)</f>
        <v>0</v>
      </c>
      <c r="AV51" s="151">
        <f t="shared" si="22"/>
        <v>0</v>
      </c>
      <c r="AW51" s="151">
        <f t="shared" si="22"/>
        <v>0</v>
      </c>
      <c r="AX51" s="151">
        <f t="shared" si="22"/>
        <v>0</v>
      </c>
      <c r="AY51" s="151">
        <f t="shared" si="22"/>
        <v>0</v>
      </c>
      <c r="AZ51" s="150">
        <f t="shared" si="22"/>
        <v>0</v>
      </c>
    </row>
    <row r="52" spans="1:52" ht="12.75">
      <c r="A52" s="90"/>
      <c r="B52" s="91"/>
      <c r="C52" s="92"/>
      <c r="D52" s="78"/>
      <c r="E52" s="93"/>
      <c r="F52" s="98">
        <f t="shared" si="15"/>
        <v>0</v>
      </c>
      <c r="G52" s="86"/>
      <c r="H52" s="98">
        <f t="shared" si="16"/>
        <v>0</v>
      </c>
      <c r="I52" s="94"/>
      <c r="J52" s="99">
        <f>IF(I52="NJ",0,IF(I52&lt;'Scoring Tables'!$S$4,0,VLOOKUP(I52,T_Long,11,TRUE)))</f>
        <v>0</v>
      </c>
      <c r="K52" s="94"/>
      <c r="L52" s="99">
        <f>IF(K52="NT",0,IF(K52&lt;'Scoring Tables'!$X$14,0,VLOOKUP(K52,T_Javlin,6,TRUE)))</f>
        <v>0</v>
      </c>
      <c r="M52" s="100">
        <f>(LARGE((F52,H52),1)+J52+L52)</f>
        <v>0</v>
      </c>
      <c r="N52" s="101">
        <f t="shared" si="17"/>
      </c>
      <c r="O52" s="101">
        <f aca="true" t="shared" si="23" ref="O52:O70">IF(M52&lt;15,"",HLOOKUP(M52,T_U11G_3_Events,3))</f>
      </c>
      <c r="P52" s="102">
        <f t="shared" si="18"/>
        <v>0</v>
      </c>
      <c r="Q52" s="103">
        <f t="shared" si="19"/>
        <v>0</v>
      </c>
      <c r="AD52" s="149">
        <f t="shared" si="8"/>
        <v>0</v>
      </c>
      <c r="AE52" s="150">
        <f t="shared" si="9"/>
        <v>0</v>
      </c>
      <c r="AF52" s="149">
        <f t="shared" si="20"/>
        <v>0</v>
      </c>
      <c r="AG52" s="151">
        <f t="shared" si="22"/>
        <v>0</v>
      </c>
      <c r="AH52" s="151">
        <f t="shared" si="22"/>
        <v>0</v>
      </c>
      <c r="AI52" s="151">
        <f t="shared" si="22"/>
        <v>0</v>
      </c>
      <c r="AJ52" s="151">
        <f t="shared" si="22"/>
        <v>0</v>
      </c>
      <c r="AK52" s="151">
        <f t="shared" si="22"/>
        <v>0</v>
      </c>
      <c r="AL52" s="151">
        <f t="shared" si="22"/>
        <v>0</v>
      </c>
      <c r="AM52" s="151">
        <f t="shared" si="22"/>
        <v>0</v>
      </c>
      <c r="AN52" s="151">
        <f t="shared" si="22"/>
        <v>0</v>
      </c>
      <c r="AO52" s="151">
        <f t="shared" si="22"/>
        <v>0</v>
      </c>
      <c r="AP52" s="151">
        <f t="shared" si="22"/>
        <v>0</v>
      </c>
      <c r="AQ52" s="151">
        <f t="shared" si="22"/>
        <v>0</v>
      </c>
      <c r="AR52" s="151">
        <f t="shared" si="22"/>
        <v>0</v>
      </c>
      <c r="AS52" s="151">
        <f t="shared" si="22"/>
        <v>0</v>
      </c>
      <c r="AT52" s="151">
        <f t="shared" si="22"/>
        <v>0</v>
      </c>
      <c r="AU52" s="151">
        <f t="shared" si="22"/>
        <v>0</v>
      </c>
      <c r="AV52" s="151">
        <f t="shared" si="22"/>
        <v>0</v>
      </c>
      <c r="AW52" s="151">
        <f t="shared" si="22"/>
        <v>0</v>
      </c>
      <c r="AX52" s="151">
        <f t="shared" si="22"/>
        <v>0</v>
      </c>
      <c r="AY52" s="151">
        <f t="shared" si="22"/>
        <v>0</v>
      </c>
      <c r="AZ52" s="150">
        <f t="shared" si="22"/>
        <v>0</v>
      </c>
    </row>
    <row r="53" spans="1:52" ht="12.75">
      <c r="A53" s="90"/>
      <c r="B53" s="91"/>
      <c r="C53" s="92"/>
      <c r="D53" s="78"/>
      <c r="E53" s="93"/>
      <c r="F53" s="98">
        <f t="shared" si="15"/>
        <v>0</v>
      </c>
      <c r="G53" s="86"/>
      <c r="H53" s="98">
        <f t="shared" si="16"/>
        <v>0</v>
      </c>
      <c r="I53" s="94"/>
      <c r="J53" s="99">
        <f>IF(I53="NJ",0,IF(I53&lt;'Scoring Tables'!$S$4,0,VLOOKUP(I53,T_Long,11,TRUE)))</f>
        <v>0</v>
      </c>
      <c r="K53" s="94"/>
      <c r="L53" s="99">
        <f>IF(K53="NT",0,IF(K53&lt;'Scoring Tables'!$X$14,0,VLOOKUP(K53,T_Javlin,6,TRUE)))</f>
        <v>0</v>
      </c>
      <c r="M53" s="100">
        <f>(LARGE((F53,H53),1)+J53+L53)</f>
        <v>0</v>
      </c>
      <c r="N53" s="101">
        <f t="shared" si="17"/>
      </c>
      <c r="O53" s="101">
        <f t="shared" si="23"/>
      </c>
      <c r="P53" s="102">
        <f t="shared" si="18"/>
        <v>0</v>
      </c>
      <c r="Q53" s="103">
        <f t="shared" si="19"/>
        <v>0</v>
      </c>
      <c r="AD53" s="149">
        <f t="shared" si="8"/>
        <v>0</v>
      </c>
      <c r="AE53" s="150">
        <f t="shared" si="9"/>
        <v>0</v>
      </c>
      <c r="AF53" s="149">
        <f t="shared" si="20"/>
        <v>0</v>
      </c>
      <c r="AG53" s="151">
        <f t="shared" si="22"/>
        <v>0</v>
      </c>
      <c r="AH53" s="151">
        <f t="shared" si="22"/>
        <v>0</v>
      </c>
      <c r="AI53" s="151">
        <f t="shared" si="22"/>
        <v>0</v>
      </c>
      <c r="AJ53" s="151">
        <f t="shared" si="22"/>
        <v>0</v>
      </c>
      <c r="AK53" s="151">
        <f t="shared" si="22"/>
        <v>0</v>
      </c>
      <c r="AL53" s="151">
        <f t="shared" si="22"/>
        <v>0</v>
      </c>
      <c r="AM53" s="151">
        <f t="shared" si="22"/>
        <v>0</v>
      </c>
      <c r="AN53" s="151">
        <f t="shared" si="22"/>
        <v>0</v>
      </c>
      <c r="AO53" s="151">
        <f t="shared" si="22"/>
        <v>0</v>
      </c>
      <c r="AP53" s="151">
        <f t="shared" si="22"/>
        <v>0</v>
      </c>
      <c r="AQ53" s="151">
        <f t="shared" si="22"/>
        <v>0</v>
      </c>
      <c r="AR53" s="151">
        <f t="shared" si="22"/>
        <v>0</v>
      </c>
      <c r="AS53" s="151">
        <f t="shared" si="22"/>
        <v>0</v>
      </c>
      <c r="AT53" s="151">
        <f t="shared" si="22"/>
        <v>0</v>
      </c>
      <c r="AU53" s="151">
        <f t="shared" si="22"/>
        <v>0</v>
      </c>
      <c r="AV53" s="151">
        <f t="shared" si="22"/>
        <v>0</v>
      </c>
      <c r="AW53" s="151">
        <f t="shared" si="22"/>
        <v>0</v>
      </c>
      <c r="AX53" s="151">
        <f t="shared" si="22"/>
        <v>0</v>
      </c>
      <c r="AY53" s="151">
        <f t="shared" si="22"/>
        <v>0</v>
      </c>
      <c r="AZ53" s="150">
        <f t="shared" si="22"/>
        <v>0</v>
      </c>
    </row>
    <row r="54" spans="1:52" ht="12.75">
      <c r="A54" s="90"/>
      <c r="B54" s="91"/>
      <c r="C54" s="92"/>
      <c r="D54" s="78"/>
      <c r="E54" s="93"/>
      <c r="F54" s="98">
        <f t="shared" si="15"/>
        <v>0</v>
      </c>
      <c r="G54" s="86"/>
      <c r="H54" s="98">
        <f t="shared" si="16"/>
        <v>0</v>
      </c>
      <c r="I54" s="94"/>
      <c r="J54" s="99">
        <f>IF(I54="NJ",0,IF(I54&lt;'Scoring Tables'!$S$4,0,VLOOKUP(I54,T_Long,11,TRUE)))</f>
        <v>0</v>
      </c>
      <c r="K54" s="94"/>
      <c r="L54" s="99">
        <f>IF(K54="NT",0,IF(K54&lt;'Scoring Tables'!$X$14,0,VLOOKUP(K54,T_Javlin,6,TRUE)))</f>
        <v>0</v>
      </c>
      <c r="M54" s="100">
        <f>(LARGE((F54,H54),1)+J54+L54)</f>
        <v>0</v>
      </c>
      <c r="N54" s="101">
        <f t="shared" si="17"/>
      </c>
      <c r="O54" s="101">
        <f t="shared" si="23"/>
      </c>
      <c r="P54" s="102">
        <f t="shared" si="18"/>
        <v>0</v>
      </c>
      <c r="Q54" s="103">
        <f t="shared" si="19"/>
        <v>0</v>
      </c>
      <c r="AD54" s="149">
        <f t="shared" si="8"/>
        <v>0</v>
      </c>
      <c r="AE54" s="150">
        <f t="shared" si="9"/>
        <v>0</v>
      </c>
      <c r="AF54" s="149">
        <f t="shared" si="20"/>
        <v>0</v>
      </c>
      <c r="AG54" s="151">
        <f t="shared" si="22"/>
        <v>0</v>
      </c>
      <c r="AH54" s="151">
        <f t="shared" si="22"/>
        <v>0</v>
      </c>
      <c r="AI54" s="151">
        <f t="shared" si="22"/>
        <v>0</v>
      </c>
      <c r="AJ54" s="151">
        <f t="shared" si="22"/>
        <v>0</v>
      </c>
      <c r="AK54" s="151">
        <f t="shared" si="22"/>
        <v>0</v>
      </c>
      <c r="AL54" s="151">
        <f t="shared" si="22"/>
        <v>0</v>
      </c>
      <c r="AM54" s="151">
        <f t="shared" si="22"/>
        <v>0</v>
      </c>
      <c r="AN54" s="151">
        <f t="shared" si="22"/>
        <v>0</v>
      </c>
      <c r="AO54" s="151">
        <f t="shared" si="22"/>
        <v>0</v>
      </c>
      <c r="AP54" s="151">
        <f t="shared" si="22"/>
        <v>0</v>
      </c>
      <c r="AQ54" s="151">
        <f t="shared" si="22"/>
        <v>0</v>
      </c>
      <c r="AR54" s="151">
        <f t="shared" si="22"/>
        <v>0</v>
      </c>
      <c r="AS54" s="151">
        <f t="shared" si="22"/>
        <v>0</v>
      </c>
      <c r="AT54" s="151">
        <f t="shared" si="22"/>
        <v>0</v>
      </c>
      <c r="AU54" s="151">
        <f t="shared" si="22"/>
        <v>0</v>
      </c>
      <c r="AV54" s="151">
        <f t="shared" si="22"/>
        <v>0</v>
      </c>
      <c r="AW54" s="151">
        <f t="shared" si="22"/>
        <v>0</v>
      </c>
      <c r="AX54" s="151">
        <f t="shared" si="22"/>
        <v>0</v>
      </c>
      <c r="AY54" s="151">
        <f t="shared" si="22"/>
        <v>0</v>
      </c>
      <c r="AZ54" s="150">
        <f t="shared" si="22"/>
        <v>0</v>
      </c>
    </row>
    <row r="55" spans="1:52" ht="12.75">
      <c r="A55" s="90"/>
      <c r="B55" s="91"/>
      <c r="C55" s="92"/>
      <c r="D55" s="78"/>
      <c r="E55" s="94"/>
      <c r="F55" s="98">
        <f t="shared" si="15"/>
        <v>0</v>
      </c>
      <c r="G55" s="86"/>
      <c r="H55" s="98">
        <f t="shared" si="16"/>
        <v>0</v>
      </c>
      <c r="I55" s="94"/>
      <c r="J55" s="99">
        <f>IF(I55="NJ",0,IF(I55&lt;'Scoring Tables'!$S$4,0,VLOOKUP(I55,T_Long,11,TRUE)))</f>
        <v>0</v>
      </c>
      <c r="K55" s="94"/>
      <c r="L55" s="99">
        <f>IF(K55="NT",0,IF(K55&lt;'Scoring Tables'!$X$14,0,VLOOKUP(K55,T_Javlin,6,TRUE)))</f>
        <v>0</v>
      </c>
      <c r="M55" s="100">
        <f>(LARGE((F55,H55),1)+J55+L55)</f>
        <v>0</v>
      </c>
      <c r="N55" s="101">
        <f t="shared" si="17"/>
      </c>
      <c r="O55" s="101">
        <f t="shared" si="23"/>
      </c>
      <c r="P55" s="102">
        <f t="shared" si="18"/>
        <v>0</v>
      </c>
      <c r="Q55" s="103">
        <f t="shared" si="19"/>
        <v>0</v>
      </c>
      <c r="AD55" s="149">
        <f t="shared" si="8"/>
        <v>0</v>
      </c>
      <c r="AE55" s="150">
        <f t="shared" si="9"/>
        <v>0</v>
      </c>
      <c r="AF55" s="149">
        <f t="shared" si="20"/>
        <v>0</v>
      </c>
      <c r="AG55" s="151">
        <f t="shared" si="22"/>
        <v>0</v>
      </c>
      <c r="AH55" s="151">
        <f t="shared" si="22"/>
        <v>0</v>
      </c>
      <c r="AI55" s="151">
        <f t="shared" si="22"/>
        <v>0</v>
      </c>
      <c r="AJ55" s="151">
        <f t="shared" si="22"/>
        <v>0</v>
      </c>
      <c r="AK55" s="151">
        <f t="shared" si="22"/>
        <v>0</v>
      </c>
      <c r="AL55" s="151">
        <f t="shared" si="22"/>
        <v>0</v>
      </c>
      <c r="AM55" s="151">
        <f t="shared" si="22"/>
        <v>0</v>
      </c>
      <c r="AN55" s="151">
        <f t="shared" si="22"/>
        <v>0</v>
      </c>
      <c r="AO55" s="151">
        <f t="shared" si="22"/>
        <v>0</v>
      </c>
      <c r="AP55" s="151">
        <f t="shared" si="22"/>
        <v>0</v>
      </c>
      <c r="AQ55" s="151">
        <f t="shared" si="22"/>
        <v>0</v>
      </c>
      <c r="AR55" s="151">
        <f t="shared" si="22"/>
        <v>0</v>
      </c>
      <c r="AS55" s="151">
        <f t="shared" si="22"/>
        <v>0</v>
      </c>
      <c r="AT55" s="151">
        <f t="shared" si="22"/>
        <v>0</v>
      </c>
      <c r="AU55" s="151">
        <f t="shared" si="22"/>
        <v>0</v>
      </c>
      <c r="AV55" s="151">
        <f t="shared" si="22"/>
        <v>0</v>
      </c>
      <c r="AW55" s="151">
        <f t="shared" si="22"/>
        <v>0</v>
      </c>
      <c r="AX55" s="151">
        <f t="shared" si="22"/>
        <v>0</v>
      </c>
      <c r="AY55" s="151">
        <f t="shared" si="22"/>
        <v>0</v>
      </c>
      <c r="AZ55" s="150">
        <f t="shared" si="22"/>
        <v>0</v>
      </c>
    </row>
    <row r="56" spans="1:52" ht="12.75">
      <c r="A56" s="90"/>
      <c r="B56" s="91"/>
      <c r="C56" s="92"/>
      <c r="D56" s="78"/>
      <c r="E56" s="94"/>
      <c r="F56" s="98">
        <f t="shared" si="15"/>
        <v>0</v>
      </c>
      <c r="G56" s="86"/>
      <c r="H56" s="98">
        <f t="shared" si="16"/>
        <v>0</v>
      </c>
      <c r="I56" s="94"/>
      <c r="J56" s="99">
        <f>IF(I56="NJ",0,IF(I56&lt;'Scoring Tables'!$S$4,0,VLOOKUP(I56,T_Long,11,TRUE)))</f>
        <v>0</v>
      </c>
      <c r="K56" s="94"/>
      <c r="L56" s="99">
        <f>IF(K56="NT",0,IF(K56&lt;'Scoring Tables'!$X$14,0,VLOOKUP(K56,T_Javlin,6,TRUE)))</f>
        <v>0</v>
      </c>
      <c r="M56" s="100">
        <f>(LARGE((F56,H56),1)+J56+L56)</f>
        <v>0</v>
      </c>
      <c r="N56" s="101">
        <f t="shared" si="17"/>
      </c>
      <c r="O56" s="101">
        <f t="shared" si="23"/>
      </c>
      <c r="P56" s="102">
        <f t="shared" si="18"/>
        <v>0</v>
      </c>
      <c r="Q56" s="103">
        <f t="shared" si="19"/>
        <v>0</v>
      </c>
      <c r="AD56" s="149">
        <f t="shared" si="8"/>
        <v>0</v>
      </c>
      <c r="AE56" s="150">
        <f t="shared" si="9"/>
        <v>0</v>
      </c>
      <c r="AF56" s="149">
        <f t="shared" si="20"/>
        <v>0</v>
      </c>
      <c r="AG56" s="151">
        <f t="shared" si="22"/>
        <v>0</v>
      </c>
      <c r="AH56" s="151">
        <f t="shared" si="22"/>
        <v>0</v>
      </c>
      <c r="AI56" s="151">
        <f t="shared" si="22"/>
        <v>0</v>
      </c>
      <c r="AJ56" s="151">
        <f t="shared" si="22"/>
        <v>0</v>
      </c>
      <c r="AK56" s="151">
        <f t="shared" si="22"/>
        <v>0</v>
      </c>
      <c r="AL56" s="151">
        <f t="shared" si="22"/>
        <v>0</v>
      </c>
      <c r="AM56" s="151">
        <f t="shared" si="22"/>
        <v>0</v>
      </c>
      <c r="AN56" s="151">
        <f t="shared" si="22"/>
        <v>0</v>
      </c>
      <c r="AO56" s="151">
        <f t="shared" si="22"/>
        <v>0</v>
      </c>
      <c r="AP56" s="151">
        <f t="shared" si="22"/>
        <v>0</v>
      </c>
      <c r="AQ56" s="151">
        <f t="shared" si="22"/>
        <v>0</v>
      </c>
      <c r="AR56" s="151">
        <f t="shared" si="22"/>
        <v>0</v>
      </c>
      <c r="AS56" s="151">
        <f t="shared" si="22"/>
        <v>0</v>
      </c>
      <c r="AT56" s="151">
        <f t="shared" si="22"/>
        <v>0</v>
      </c>
      <c r="AU56" s="151">
        <f t="shared" si="22"/>
        <v>0</v>
      </c>
      <c r="AV56" s="151">
        <f t="shared" si="22"/>
        <v>0</v>
      </c>
      <c r="AW56" s="151">
        <f t="shared" si="22"/>
        <v>0</v>
      </c>
      <c r="AX56" s="151">
        <f t="shared" si="22"/>
        <v>0</v>
      </c>
      <c r="AY56" s="151">
        <f t="shared" si="22"/>
        <v>0</v>
      </c>
      <c r="AZ56" s="150">
        <f t="shared" si="22"/>
        <v>0</v>
      </c>
    </row>
    <row r="57" spans="1:52" ht="12.75">
      <c r="A57" s="90"/>
      <c r="B57" s="91"/>
      <c r="C57" s="92"/>
      <c r="D57" s="78"/>
      <c r="E57" s="94"/>
      <c r="F57" s="98">
        <f t="shared" si="15"/>
        <v>0</v>
      </c>
      <c r="G57" s="86"/>
      <c r="H57" s="98">
        <f t="shared" si="16"/>
        <v>0</v>
      </c>
      <c r="I57" s="94"/>
      <c r="J57" s="99">
        <f>IF(I57="NJ",0,IF(I57&lt;'Scoring Tables'!$S$4,0,VLOOKUP(I57,T_Long,11,TRUE)))</f>
        <v>0</v>
      </c>
      <c r="K57" s="94"/>
      <c r="L57" s="99">
        <f>IF(K57="NT",0,IF(K57&lt;'Scoring Tables'!$X$14,0,VLOOKUP(K57,T_Javlin,6,TRUE)))</f>
        <v>0</v>
      </c>
      <c r="M57" s="100">
        <f>(LARGE((F57,H57),1)+J57+L57)</f>
        <v>0</v>
      </c>
      <c r="N57" s="101">
        <f t="shared" si="17"/>
      </c>
      <c r="O57" s="101">
        <f t="shared" si="23"/>
      </c>
      <c r="P57" s="102">
        <f t="shared" si="18"/>
        <v>0</v>
      </c>
      <c r="Q57" s="103">
        <f t="shared" si="19"/>
        <v>0</v>
      </c>
      <c r="AD57" s="149">
        <f t="shared" si="8"/>
        <v>0</v>
      </c>
      <c r="AE57" s="150">
        <f t="shared" si="9"/>
        <v>0</v>
      </c>
      <c r="AF57" s="149">
        <f t="shared" si="20"/>
        <v>0</v>
      </c>
      <c r="AG57" s="151">
        <f t="shared" si="22"/>
        <v>0</v>
      </c>
      <c r="AH57" s="151">
        <f t="shared" si="22"/>
        <v>0</v>
      </c>
      <c r="AI57" s="151">
        <f t="shared" si="22"/>
        <v>0</v>
      </c>
      <c r="AJ57" s="151">
        <f t="shared" si="22"/>
        <v>0</v>
      </c>
      <c r="AK57" s="151">
        <f t="shared" si="22"/>
        <v>0</v>
      </c>
      <c r="AL57" s="151">
        <f t="shared" si="22"/>
        <v>0</v>
      </c>
      <c r="AM57" s="151">
        <f t="shared" si="22"/>
        <v>0</v>
      </c>
      <c r="AN57" s="151">
        <f t="shared" si="22"/>
        <v>0</v>
      </c>
      <c r="AO57" s="151">
        <f t="shared" si="22"/>
        <v>0</v>
      </c>
      <c r="AP57" s="151">
        <f t="shared" si="22"/>
        <v>0</v>
      </c>
      <c r="AQ57" s="151">
        <f t="shared" si="22"/>
        <v>0</v>
      </c>
      <c r="AR57" s="151">
        <f t="shared" si="22"/>
        <v>0</v>
      </c>
      <c r="AS57" s="151">
        <f t="shared" si="22"/>
        <v>0</v>
      </c>
      <c r="AT57" s="151">
        <f t="shared" si="22"/>
        <v>0</v>
      </c>
      <c r="AU57" s="151">
        <f t="shared" si="22"/>
        <v>0</v>
      </c>
      <c r="AV57" s="151">
        <f t="shared" si="22"/>
        <v>0</v>
      </c>
      <c r="AW57" s="151">
        <f t="shared" si="22"/>
        <v>0</v>
      </c>
      <c r="AX57" s="151">
        <f t="shared" si="22"/>
        <v>0</v>
      </c>
      <c r="AY57" s="151">
        <f t="shared" si="22"/>
        <v>0</v>
      </c>
      <c r="AZ57" s="150">
        <f t="shared" si="22"/>
        <v>0</v>
      </c>
    </row>
    <row r="58" spans="1:52" ht="12.75">
      <c r="A58" s="90"/>
      <c r="B58" s="91"/>
      <c r="C58" s="92"/>
      <c r="D58" s="78"/>
      <c r="E58" s="94"/>
      <c r="F58" s="98">
        <f t="shared" si="15"/>
        <v>0</v>
      </c>
      <c r="G58" s="86"/>
      <c r="H58" s="98">
        <f t="shared" si="16"/>
        <v>0</v>
      </c>
      <c r="I58" s="94"/>
      <c r="J58" s="99">
        <f>IF(I58="NJ",0,IF(I58&lt;'Scoring Tables'!$S$4,0,VLOOKUP(I58,T_Long,11,TRUE)))</f>
        <v>0</v>
      </c>
      <c r="K58" s="94"/>
      <c r="L58" s="99">
        <f>IF(K58="NT",0,IF(K58&lt;'Scoring Tables'!$X$14,0,VLOOKUP(K58,T_Javlin,6,TRUE)))</f>
        <v>0</v>
      </c>
      <c r="M58" s="100">
        <f>(LARGE((F58,H58),1)+J58+L58)</f>
        <v>0</v>
      </c>
      <c r="N58" s="101">
        <f t="shared" si="17"/>
      </c>
      <c r="O58" s="101">
        <f t="shared" si="23"/>
      </c>
      <c r="P58" s="102">
        <f t="shared" si="18"/>
        <v>0</v>
      </c>
      <c r="Q58" s="103">
        <f t="shared" si="19"/>
        <v>0</v>
      </c>
      <c r="AD58" s="149">
        <f t="shared" si="8"/>
        <v>0</v>
      </c>
      <c r="AE58" s="150">
        <f t="shared" si="9"/>
        <v>0</v>
      </c>
      <c r="AF58" s="149">
        <f t="shared" si="20"/>
        <v>0</v>
      </c>
      <c r="AG58" s="151">
        <f t="shared" si="22"/>
        <v>0</v>
      </c>
      <c r="AH58" s="151">
        <f t="shared" si="22"/>
        <v>0</v>
      </c>
      <c r="AI58" s="151">
        <f t="shared" si="22"/>
        <v>0</v>
      </c>
      <c r="AJ58" s="151">
        <f t="shared" si="22"/>
        <v>0</v>
      </c>
      <c r="AK58" s="151">
        <f t="shared" si="22"/>
        <v>0</v>
      </c>
      <c r="AL58" s="151">
        <f t="shared" si="22"/>
        <v>0</v>
      </c>
      <c r="AM58" s="151">
        <f t="shared" si="22"/>
        <v>0</v>
      </c>
      <c r="AN58" s="151">
        <f t="shared" si="22"/>
        <v>0</v>
      </c>
      <c r="AO58" s="151">
        <f t="shared" si="22"/>
        <v>0</v>
      </c>
      <c r="AP58" s="151">
        <f t="shared" si="22"/>
        <v>0</v>
      </c>
      <c r="AQ58" s="151">
        <f t="shared" si="22"/>
        <v>0</v>
      </c>
      <c r="AR58" s="151">
        <f t="shared" si="22"/>
        <v>0</v>
      </c>
      <c r="AS58" s="151">
        <f t="shared" si="22"/>
        <v>0</v>
      </c>
      <c r="AT58" s="151">
        <f t="shared" si="22"/>
        <v>0</v>
      </c>
      <c r="AU58" s="151">
        <f t="shared" si="22"/>
        <v>0</v>
      </c>
      <c r="AV58" s="151">
        <f t="shared" si="22"/>
        <v>0</v>
      </c>
      <c r="AW58" s="151">
        <f t="shared" si="22"/>
        <v>0</v>
      </c>
      <c r="AX58" s="151">
        <f t="shared" si="22"/>
        <v>0</v>
      </c>
      <c r="AY58" s="151">
        <f t="shared" si="22"/>
        <v>0</v>
      </c>
      <c r="AZ58" s="150">
        <f t="shared" si="22"/>
        <v>0</v>
      </c>
    </row>
    <row r="59" spans="1:52" ht="12.75">
      <c r="A59" s="90"/>
      <c r="B59" s="91"/>
      <c r="C59" s="92"/>
      <c r="D59" s="78"/>
      <c r="E59" s="94"/>
      <c r="F59" s="98">
        <f t="shared" si="15"/>
        <v>0</v>
      </c>
      <c r="G59" s="86"/>
      <c r="H59" s="98">
        <f t="shared" si="16"/>
        <v>0</v>
      </c>
      <c r="I59" s="94"/>
      <c r="J59" s="99">
        <f>IF(I59="NJ",0,IF(I59&lt;'Scoring Tables'!$S$4,0,VLOOKUP(I59,T_Long,11,TRUE)))</f>
        <v>0</v>
      </c>
      <c r="K59" s="94"/>
      <c r="L59" s="99">
        <f>IF(K59="NT",0,IF(K59&lt;'Scoring Tables'!$X$14,0,VLOOKUP(K59,T_Javlin,6,TRUE)))</f>
        <v>0</v>
      </c>
      <c r="M59" s="100">
        <f>(LARGE((F59,H59),1)+J59+L59)</f>
        <v>0</v>
      </c>
      <c r="N59" s="101">
        <f t="shared" si="17"/>
      </c>
      <c r="O59" s="101">
        <f t="shared" si="23"/>
      </c>
      <c r="P59" s="102">
        <f t="shared" si="18"/>
        <v>0</v>
      </c>
      <c r="Q59" s="103">
        <f t="shared" si="19"/>
        <v>0</v>
      </c>
      <c r="AD59" s="149">
        <f t="shared" si="8"/>
        <v>0</v>
      </c>
      <c r="AE59" s="150">
        <f t="shared" si="9"/>
        <v>0</v>
      </c>
      <c r="AF59" s="149">
        <f t="shared" si="20"/>
        <v>0</v>
      </c>
      <c r="AG59" s="151">
        <f t="shared" si="22"/>
        <v>0</v>
      </c>
      <c r="AH59" s="151">
        <f t="shared" si="22"/>
        <v>0</v>
      </c>
      <c r="AI59" s="151">
        <f t="shared" si="22"/>
        <v>0</v>
      </c>
      <c r="AJ59" s="151">
        <f t="shared" si="22"/>
        <v>0</v>
      </c>
      <c r="AK59" s="151">
        <f t="shared" si="22"/>
        <v>0</v>
      </c>
      <c r="AL59" s="151">
        <f t="shared" si="22"/>
        <v>0</v>
      </c>
      <c r="AM59" s="151">
        <f t="shared" si="22"/>
        <v>0</v>
      </c>
      <c r="AN59" s="151">
        <f t="shared" si="22"/>
        <v>0</v>
      </c>
      <c r="AO59" s="151">
        <f t="shared" si="22"/>
        <v>0</v>
      </c>
      <c r="AP59" s="151">
        <f t="shared" si="22"/>
        <v>0</v>
      </c>
      <c r="AQ59" s="151">
        <f t="shared" si="22"/>
        <v>0</v>
      </c>
      <c r="AR59" s="151">
        <f t="shared" si="22"/>
        <v>0</v>
      </c>
      <c r="AS59" s="151">
        <f t="shared" si="22"/>
        <v>0</v>
      </c>
      <c r="AT59" s="151">
        <f t="shared" si="22"/>
        <v>0</v>
      </c>
      <c r="AU59" s="151">
        <f t="shared" si="22"/>
        <v>0</v>
      </c>
      <c r="AV59" s="151">
        <f t="shared" si="22"/>
        <v>0</v>
      </c>
      <c r="AW59" s="151">
        <f t="shared" si="22"/>
        <v>0</v>
      </c>
      <c r="AX59" s="151">
        <f t="shared" si="22"/>
        <v>0</v>
      </c>
      <c r="AY59" s="151">
        <f t="shared" si="22"/>
        <v>0</v>
      </c>
      <c r="AZ59" s="150">
        <f t="shared" si="22"/>
        <v>0</v>
      </c>
    </row>
    <row r="60" spans="1:52" ht="12.75">
      <c r="A60" s="90"/>
      <c r="B60" s="91"/>
      <c r="C60" s="92"/>
      <c r="D60" s="78"/>
      <c r="E60" s="94"/>
      <c r="F60" s="98">
        <f t="shared" si="15"/>
        <v>0</v>
      </c>
      <c r="G60" s="86"/>
      <c r="H60" s="98">
        <f t="shared" si="16"/>
        <v>0</v>
      </c>
      <c r="I60" s="94"/>
      <c r="J60" s="99">
        <f>IF(I60="NJ",0,IF(I60&lt;'Scoring Tables'!$S$4,0,VLOOKUP(I60,T_Long,11,TRUE)))</f>
        <v>0</v>
      </c>
      <c r="K60" s="94"/>
      <c r="L60" s="99">
        <f>IF(K60="NT",0,IF(K60&lt;'Scoring Tables'!$X$14,0,VLOOKUP(K60,T_Javlin,6,TRUE)))</f>
        <v>0</v>
      </c>
      <c r="M60" s="100">
        <f>(LARGE((F60,H60),1)+J60+L60)</f>
        <v>0</v>
      </c>
      <c r="N60" s="101">
        <f t="shared" si="17"/>
      </c>
      <c r="O60" s="101">
        <f t="shared" si="23"/>
      </c>
      <c r="P60" s="102">
        <f t="shared" si="18"/>
        <v>0</v>
      </c>
      <c r="Q60" s="103">
        <f t="shared" si="19"/>
        <v>0</v>
      </c>
      <c r="AD60" s="149">
        <f t="shared" si="8"/>
        <v>0</v>
      </c>
      <c r="AE60" s="150">
        <f t="shared" si="9"/>
        <v>0</v>
      </c>
      <c r="AF60" s="149">
        <f t="shared" si="20"/>
        <v>0</v>
      </c>
      <c r="AG60" s="151">
        <f t="shared" si="22"/>
        <v>0</v>
      </c>
      <c r="AH60" s="151">
        <f t="shared" si="22"/>
        <v>0</v>
      </c>
      <c r="AI60" s="151">
        <f t="shared" si="22"/>
        <v>0</v>
      </c>
      <c r="AJ60" s="151">
        <f t="shared" si="22"/>
        <v>0</v>
      </c>
      <c r="AK60" s="151">
        <f t="shared" si="22"/>
        <v>0</v>
      </c>
      <c r="AL60" s="151">
        <f t="shared" si="22"/>
        <v>0</v>
      </c>
      <c r="AM60" s="151">
        <f t="shared" si="22"/>
        <v>0</v>
      </c>
      <c r="AN60" s="151">
        <f t="shared" si="22"/>
        <v>0</v>
      </c>
      <c r="AO60" s="151">
        <f aca="true" t="shared" si="24" ref="AG60:AZ69">IF($D60=AO$1,$M60,0)</f>
        <v>0</v>
      </c>
      <c r="AP60" s="151">
        <f t="shared" si="24"/>
        <v>0</v>
      </c>
      <c r="AQ60" s="151">
        <f t="shared" si="24"/>
        <v>0</v>
      </c>
      <c r="AR60" s="151">
        <f t="shared" si="24"/>
        <v>0</v>
      </c>
      <c r="AS60" s="151">
        <f t="shared" si="24"/>
        <v>0</v>
      </c>
      <c r="AT60" s="151">
        <f t="shared" si="24"/>
        <v>0</v>
      </c>
      <c r="AU60" s="151">
        <f t="shared" si="24"/>
        <v>0</v>
      </c>
      <c r="AV60" s="151">
        <f t="shared" si="24"/>
        <v>0</v>
      </c>
      <c r="AW60" s="151">
        <f t="shared" si="24"/>
        <v>0</v>
      </c>
      <c r="AX60" s="151">
        <f t="shared" si="24"/>
        <v>0</v>
      </c>
      <c r="AY60" s="151">
        <f t="shared" si="24"/>
        <v>0</v>
      </c>
      <c r="AZ60" s="150">
        <f t="shared" si="24"/>
        <v>0</v>
      </c>
    </row>
    <row r="61" spans="1:52" ht="12.75">
      <c r="A61" s="90"/>
      <c r="B61" s="91"/>
      <c r="C61" s="92"/>
      <c r="D61" s="78"/>
      <c r="E61" s="94"/>
      <c r="F61" s="98">
        <f t="shared" si="15"/>
        <v>0</v>
      </c>
      <c r="G61" s="86"/>
      <c r="H61" s="98">
        <f t="shared" si="16"/>
        <v>0</v>
      </c>
      <c r="I61" s="94"/>
      <c r="J61" s="99">
        <f>IF(I61="NJ",0,IF(I61&lt;'Scoring Tables'!$S$4,0,VLOOKUP(I61,T_Long,11,TRUE)))</f>
        <v>0</v>
      </c>
      <c r="K61" s="94"/>
      <c r="L61" s="99">
        <f>IF(K61="NT",0,IF(K61&lt;'Scoring Tables'!$X$14,0,VLOOKUP(K61,T_Javlin,6,TRUE)))</f>
        <v>0</v>
      </c>
      <c r="M61" s="100">
        <f>(LARGE((F61,H61),1)+J61+L61)</f>
        <v>0</v>
      </c>
      <c r="N61" s="101">
        <f t="shared" si="17"/>
      </c>
      <c r="O61" s="101">
        <f t="shared" si="23"/>
      </c>
      <c r="P61" s="102">
        <f t="shared" si="18"/>
        <v>0</v>
      </c>
      <c r="Q61" s="103">
        <f t="shared" si="19"/>
        <v>0</v>
      </c>
      <c r="AD61" s="149">
        <f t="shared" si="8"/>
        <v>0</v>
      </c>
      <c r="AE61" s="150">
        <f t="shared" si="9"/>
        <v>0</v>
      </c>
      <c r="AF61" s="149">
        <f t="shared" si="20"/>
        <v>0</v>
      </c>
      <c r="AG61" s="151">
        <f t="shared" si="24"/>
        <v>0</v>
      </c>
      <c r="AH61" s="151">
        <f t="shared" si="24"/>
        <v>0</v>
      </c>
      <c r="AI61" s="151">
        <f t="shared" si="24"/>
        <v>0</v>
      </c>
      <c r="AJ61" s="151">
        <f t="shared" si="24"/>
        <v>0</v>
      </c>
      <c r="AK61" s="151">
        <f t="shared" si="24"/>
        <v>0</v>
      </c>
      <c r="AL61" s="151">
        <f t="shared" si="24"/>
        <v>0</v>
      </c>
      <c r="AM61" s="151">
        <f t="shared" si="24"/>
        <v>0</v>
      </c>
      <c r="AN61" s="151">
        <f t="shared" si="24"/>
        <v>0</v>
      </c>
      <c r="AO61" s="151">
        <f t="shared" si="24"/>
        <v>0</v>
      </c>
      <c r="AP61" s="151">
        <f t="shared" si="24"/>
        <v>0</v>
      </c>
      <c r="AQ61" s="151">
        <f t="shared" si="24"/>
        <v>0</v>
      </c>
      <c r="AR61" s="151">
        <f t="shared" si="24"/>
        <v>0</v>
      </c>
      <c r="AS61" s="151">
        <f t="shared" si="24"/>
        <v>0</v>
      </c>
      <c r="AT61" s="151">
        <f t="shared" si="24"/>
        <v>0</v>
      </c>
      <c r="AU61" s="151">
        <f t="shared" si="24"/>
        <v>0</v>
      </c>
      <c r="AV61" s="151">
        <f t="shared" si="24"/>
        <v>0</v>
      </c>
      <c r="AW61" s="151">
        <f t="shared" si="24"/>
        <v>0</v>
      </c>
      <c r="AX61" s="151">
        <f t="shared" si="24"/>
        <v>0</v>
      </c>
      <c r="AY61" s="151">
        <f t="shared" si="24"/>
        <v>0</v>
      </c>
      <c r="AZ61" s="150">
        <f t="shared" si="24"/>
        <v>0</v>
      </c>
    </row>
    <row r="62" spans="1:52" ht="12.75">
      <c r="A62" s="90"/>
      <c r="B62" s="91"/>
      <c r="C62" s="92"/>
      <c r="D62" s="78"/>
      <c r="E62" s="94"/>
      <c r="F62" s="98">
        <f t="shared" si="15"/>
        <v>0</v>
      </c>
      <c r="G62" s="86"/>
      <c r="H62" s="98">
        <f t="shared" si="16"/>
        <v>0</v>
      </c>
      <c r="I62" s="94"/>
      <c r="J62" s="99">
        <f>IF(I62="NJ",0,IF(I62&lt;'Scoring Tables'!$S$4,0,VLOOKUP(I62,T_Long,11,TRUE)))</f>
        <v>0</v>
      </c>
      <c r="K62" s="94"/>
      <c r="L62" s="99">
        <f>IF(K62="NT",0,IF(K62&lt;'Scoring Tables'!$X$14,0,VLOOKUP(K62,T_Javlin,6,TRUE)))</f>
        <v>0</v>
      </c>
      <c r="M62" s="100">
        <f>(LARGE((F62,H62),1)+J62+L62)</f>
        <v>0</v>
      </c>
      <c r="N62" s="101">
        <f t="shared" si="17"/>
      </c>
      <c r="O62" s="101">
        <f t="shared" si="23"/>
      </c>
      <c r="P62" s="102">
        <f t="shared" si="18"/>
        <v>0</v>
      </c>
      <c r="Q62" s="103">
        <f t="shared" si="19"/>
        <v>0</v>
      </c>
      <c r="AD62" s="149">
        <f t="shared" si="8"/>
        <v>0</v>
      </c>
      <c r="AE62" s="150">
        <f t="shared" si="9"/>
        <v>0</v>
      </c>
      <c r="AF62" s="149">
        <f t="shared" si="20"/>
        <v>0</v>
      </c>
      <c r="AG62" s="151">
        <f t="shared" si="24"/>
        <v>0</v>
      </c>
      <c r="AH62" s="151">
        <f t="shared" si="24"/>
        <v>0</v>
      </c>
      <c r="AI62" s="151">
        <f t="shared" si="24"/>
        <v>0</v>
      </c>
      <c r="AJ62" s="151">
        <f t="shared" si="24"/>
        <v>0</v>
      </c>
      <c r="AK62" s="151">
        <f t="shared" si="24"/>
        <v>0</v>
      </c>
      <c r="AL62" s="151">
        <f t="shared" si="24"/>
        <v>0</v>
      </c>
      <c r="AM62" s="151">
        <f t="shared" si="24"/>
        <v>0</v>
      </c>
      <c r="AN62" s="151">
        <f t="shared" si="24"/>
        <v>0</v>
      </c>
      <c r="AO62" s="151">
        <f t="shared" si="24"/>
        <v>0</v>
      </c>
      <c r="AP62" s="151">
        <f t="shared" si="24"/>
        <v>0</v>
      </c>
      <c r="AQ62" s="151">
        <f t="shared" si="24"/>
        <v>0</v>
      </c>
      <c r="AR62" s="151">
        <f t="shared" si="24"/>
        <v>0</v>
      </c>
      <c r="AS62" s="151">
        <f t="shared" si="24"/>
        <v>0</v>
      </c>
      <c r="AT62" s="151">
        <f t="shared" si="24"/>
        <v>0</v>
      </c>
      <c r="AU62" s="151">
        <f t="shared" si="24"/>
        <v>0</v>
      </c>
      <c r="AV62" s="151">
        <f t="shared" si="24"/>
        <v>0</v>
      </c>
      <c r="AW62" s="151">
        <f t="shared" si="24"/>
        <v>0</v>
      </c>
      <c r="AX62" s="151">
        <f t="shared" si="24"/>
        <v>0</v>
      </c>
      <c r="AY62" s="151">
        <f t="shared" si="24"/>
        <v>0</v>
      </c>
      <c r="AZ62" s="150">
        <f t="shared" si="24"/>
        <v>0</v>
      </c>
    </row>
    <row r="63" spans="1:52" ht="12.75">
      <c r="A63" s="90"/>
      <c r="B63" s="91"/>
      <c r="C63" s="92"/>
      <c r="D63" s="78"/>
      <c r="E63" s="94"/>
      <c r="F63" s="98">
        <f t="shared" si="15"/>
        <v>0</v>
      </c>
      <c r="G63" s="86"/>
      <c r="H63" s="98">
        <f t="shared" si="16"/>
        <v>0</v>
      </c>
      <c r="I63" s="94"/>
      <c r="J63" s="99">
        <f>IF(I63="NJ",0,IF(I63&lt;'Scoring Tables'!$S$4,0,VLOOKUP(I63,T_Long,11,TRUE)))</f>
        <v>0</v>
      </c>
      <c r="K63" s="94"/>
      <c r="L63" s="99">
        <f>IF(K63="NT",0,IF(K63&lt;'Scoring Tables'!$X$14,0,VLOOKUP(K63,T_Javlin,6,TRUE)))</f>
        <v>0</v>
      </c>
      <c r="M63" s="100">
        <f>(LARGE((F63,H63),1)+J63+L63)</f>
        <v>0</v>
      </c>
      <c r="N63" s="101">
        <f t="shared" si="17"/>
      </c>
      <c r="O63" s="101">
        <f t="shared" si="23"/>
      </c>
      <c r="P63" s="102">
        <f t="shared" si="18"/>
        <v>0</v>
      </c>
      <c r="Q63" s="103">
        <f t="shared" si="19"/>
        <v>0</v>
      </c>
      <c r="AD63" s="149">
        <f t="shared" si="8"/>
        <v>0</v>
      </c>
      <c r="AE63" s="150">
        <f t="shared" si="9"/>
        <v>0</v>
      </c>
      <c r="AF63" s="149">
        <f t="shared" si="20"/>
        <v>0</v>
      </c>
      <c r="AG63" s="151">
        <f t="shared" si="24"/>
        <v>0</v>
      </c>
      <c r="AH63" s="151">
        <f t="shared" si="24"/>
        <v>0</v>
      </c>
      <c r="AI63" s="151">
        <f t="shared" si="24"/>
        <v>0</v>
      </c>
      <c r="AJ63" s="151">
        <f t="shared" si="24"/>
        <v>0</v>
      </c>
      <c r="AK63" s="151">
        <f t="shared" si="24"/>
        <v>0</v>
      </c>
      <c r="AL63" s="151">
        <f t="shared" si="24"/>
        <v>0</v>
      </c>
      <c r="AM63" s="151">
        <f t="shared" si="24"/>
        <v>0</v>
      </c>
      <c r="AN63" s="151">
        <f t="shared" si="24"/>
        <v>0</v>
      </c>
      <c r="AO63" s="151">
        <f t="shared" si="24"/>
        <v>0</v>
      </c>
      <c r="AP63" s="151">
        <f t="shared" si="24"/>
        <v>0</v>
      </c>
      <c r="AQ63" s="151">
        <f t="shared" si="24"/>
        <v>0</v>
      </c>
      <c r="AR63" s="151">
        <f t="shared" si="24"/>
        <v>0</v>
      </c>
      <c r="AS63" s="151">
        <f t="shared" si="24"/>
        <v>0</v>
      </c>
      <c r="AT63" s="151">
        <f t="shared" si="24"/>
        <v>0</v>
      </c>
      <c r="AU63" s="151">
        <f t="shared" si="24"/>
        <v>0</v>
      </c>
      <c r="AV63" s="151">
        <f t="shared" si="24"/>
        <v>0</v>
      </c>
      <c r="AW63" s="151">
        <f t="shared" si="24"/>
        <v>0</v>
      </c>
      <c r="AX63" s="151">
        <f t="shared" si="24"/>
        <v>0</v>
      </c>
      <c r="AY63" s="151">
        <f t="shared" si="24"/>
        <v>0</v>
      </c>
      <c r="AZ63" s="150">
        <f t="shared" si="24"/>
        <v>0</v>
      </c>
    </row>
    <row r="64" spans="1:52" ht="12.75">
      <c r="A64" s="90"/>
      <c r="B64" s="91"/>
      <c r="C64" s="92"/>
      <c r="D64" s="78"/>
      <c r="E64" s="94"/>
      <c r="F64" s="98">
        <f t="shared" si="15"/>
        <v>0</v>
      </c>
      <c r="G64" s="86"/>
      <c r="H64" s="98">
        <f t="shared" si="16"/>
        <v>0</v>
      </c>
      <c r="I64" s="94"/>
      <c r="J64" s="99">
        <f>IF(I64="NJ",0,IF(I64&lt;'Scoring Tables'!$S$4,0,VLOOKUP(I64,T_Long,11,TRUE)))</f>
        <v>0</v>
      </c>
      <c r="K64" s="94"/>
      <c r="L64" s="99">
        <f>IF(K64="NT",0,IF(K64&lt;'Scoring Tables'!$X$14,0,VLOOKUP(K64,T_Javlin,6,TRUE)))</f>
        <v>0</v>
      </c>
      <c r="M64" s="100">
        <f>(LARGE((F64,H64),1)+J64+L64)</f>
        <v>0</v>
      </c>
      <c r="N64" s="101">
        <f t="shared" si="17"/>
      </c>
      <c r="O64" s="101">
        <f t="shared" si="23"/>
      </c>
      <c r="P64" s="102">
        <f t="shared" si="18"/>
        <v>0</v>
      </c>
      <c r="Q64" s="103">
        <f t="shared" si="19"/>
        <v>0</v>
      </c>
      <c r="AD64" s="149">
        <f t="shared" si="8"/>
        <v>0</v>
      </c>
      <c r="AE64" s="150">
        <f t="shared" si="9"/>
        <v>0</v>
      </c>
      <c r="AF64" s="149">
        <f t="shared" si="20"/>
        <v>0</v>
      </c>
      <c r="AG64" s="151">
        <f t="shared" si="24"/>
        <v>0</v>
      </c>
      <c r="AH64" s="151">
        <f t="shared" si="24"/>
        <v>0</v>
      </c>
      <c r="AI64" s="151">
        <f t="shared" si="24"/>
        <v>0</v>
      </c>
      <c r="AJ64" s="151">
        <f t="shared" si="24"/>
        <v>0</v>
      </c>
      <c r="AK64" s="151">
        <f t="shared" si="24"/>
        <v>0</v>
      </c>
      <c r="AL64" s="151">
        <f t="shared" si="24"/>
        <v>0</v>
      </c>
      <c r="AM64" s="151">
        <f t="shared" si="24"/>
        <v>0</v>
      </c>
      <c r="AN64" s="151">
        <f t="shared" si="24"/>
        <v>0</v>
      </c>
      <c r="AO64" s="151">
        <f t="shared" si="24"/>
        <v>0</v>
      </c>
      <c r="AP64" s="151">
        <f t="shared" si="24"/>
        <v>0</v>
      </c>
      <c r="AQ64" s="151">
        <f t="shared" si="24"/>
        <v>0</v>
      </c>
      <c r="AR64" s="151">
        <f t="shared" si="24"/>
        <v>0</v>
      </c>
      <c r="AS64" s="151">
        <f t="shared" si="24"/>
        <v>0</v>
      </c>
      <c r="AT64" s="151">
        <f t="shared" si="24"/>
        <v>0</v>
      </c>
      <c r="AU64" s="151">
        <f t="shared" si="24"/>
        <v>0</v>
      </c>
      <c r="AV64" s="151">
        <f t="shared" si="24"/>
        <v>0</v>
      </c>
      <c r="AW64" s="151">
        <f t="shared" si="24"/>
        <v>0</v>
      </c>
      <c r="AX64" s="151">
        <f t="shared" si="24"/>
        <v>0</v>
      </c>
      <c r="AY64" s="151">
        <f t="shared" si="24"/>
        <v>0</v>
      </c>
      <c r="AZ64" s="150">
        <f t="shared" si="24"/>
        <v>0</v>
      </c>
    </row>
    <row r="65" spans="1:52" ht="12.75">
      <c r="A65" s="90"/>
      <c r="B65" s="91"/>
      <c r="C65" s="92"/>
      <c r="D65" s="78"/>
      <c r="E65" s="94"/>
      <c r="F65" s="98">
        <f t="shared" si="15"/>
        <v>0</v>
      </c>
      <c r="G65" s="86"/>
      <c r="H65" s="98">
        <f t="shared" si="16"/>
        <v>0</v>
      </c>
      <c r="I65" s="94"/>
      <c r="J65" s="99">
        <f>IF(I65="NJ",0,IF(I65&lt;'Scoring Tables'!$S$4,0,VLOOKUP(I65,T_Long,11,TRUE)))</f>
        <v>0</v>
      </c>
      <c r="K65" s="94"/>
      <c r="L65" s="99">
        <f>IF(K65="NT",0,IF(K65&lt;'Scoring Tables'!$X$14,0,VLOOKUP(K65,T_Javlin,6,TRUE)))</f>
        <v>0</v>
      </c>
      <c r="M65" s="100">
        <f>(LARGE((F65,H65),1)+J65+L65)</f>
        <v>0</v>
      </c>
      <c r="N65" s="101">
        <f t="shared" si="17"/>
      </c>
      <c r="O65" s="101">
        <f t="shared" si="23"/>
      </c>
      <c r="P65" s="102">
        <f t="shared" si="18"/>
        <v>0</v>
      </c>
      <c r="Q65" s="103">
        <f t="shared" si="19"/>
        <v>0</v>
      </c>
      <c r="AD65" s="149">
        <f t="shared" si="8"/>
        <v>0</v>
      </c>
      <c r="AE65" s="150">
        <f t="shared" si="9"/>
        <v>0</v>
      </c>
      <c r="AF65" s="149">
        <f t="shared" si="20"/>
        <v>0</v>
      </c>
      <c r="AG65" s="151">
        <f t="shared" si="24"/>
        <v>0</v>
      </c>
      <c r="AH65" s="151">
        <f t="shared" si="24"/>
        <v>0</v>
      </c>
      <c r="AI65" s="151">
        <f t="shared" si="24"/>
        <v>0</v>
      </c>
      <c r="AJ65" s="151">
        <f t="shared" si="24"/>
        <v>0</v>
      </c>
      <c r="AK65" s="151">
        <f t="shared" si="24"/>
        <v>0</v>
      </c>
      <c r="AL65" s="151">
        <f t="shared" si="24"/>
        <v>0</v>
      </c>
      <c r="AM65" s="151">
        <f t="shared" si="24"/>
        <v>0</v>
      </c>
      <c r="AN65" s="151">
        <f t="shared" si="24"/>
        <v>0</v>
      </c>
      <c r="AO65" s="151">
        <f t="shared" si="24"/>
        <v>0</v>
      </c>
      <c r="AP65" s="151">
        <f t="shared" si="24"/>
        <v>0</v>
      </c>
      <c r="AQ65" s="151">
        <f t="shared" si="24"/>
        <v>0</v>
      </c>
      <c r="AR65" s="151">
        <f t="shared" si="24"/>
        <v>0</v>
      </c>
      <c r="AS65" s="151">
        <f t="shared" si="24"/>
        <v>0</v>
      </c>
      <c r="AT65" s="151">
        <f t="shared" si="24"/>
        <v>0</v>
      </c>
      <c r="AU65" s="151">
        <f t="shared" si="24"/>
        <v>0</v>
      </c>
      <c r="AV65" s="151">
        <f t="shared" si="24"/>
        <v>0</v>
      </c>
      <c r="AW65" s="151">
        <f t="shared" si="24"/>
        <v>0</v>
      </c>
      <c r="AX65" s="151">
        <f t="shared" si="24"/>
        <v>0</v>
      </c>
      <c r="AY65" s="151">
        <f t="shared" si="24"/>
        <v>0</v>
      </c>
      <c r="AZ65" s="150">
        <f t="shared" si="24"/>
        <v>0</v>
      </c>
    </row>
    <row r="66" spans="1:52" ht="12.75">
      <c r="A66" s="90"/>
      <c r="B66" s="91"/>
      <c r="C66" s="92"/>
      <c r="D66" s="78"/>
      <c r="E66" s="94"/>
      <c r="F66" s="98">
        <f t="shared" si="15"/>
        <v>0</v>
      </c>
      <c r="G66" s="86"/>
      <c r="H66" s="98">
        <f t="shared" si="16"/>
        <v>0</v>
      </c>
      <c r="I66" s="94"/>
      <c r="J66" s="99">
        <f>IF(I66="NJ",0,IF(I66&lt;'Scoring Tables'!$S$4,0,VLOOKUP(I66,T_Long,11,TRUE)))</f>
        <v>0</v>
      </c>
      <c r="K66" s="94"/>
      <c r="L66" s="99">
        <f>IF(K66="NT",0,IF(K66&lt;'Scoring Tables'!$X$14,0,VLOOKUP(K66,T_Javlin,6,TRUE)))</f>
        <v>0</v>
      </c>
      <c r="M66" s="100">
        <f>(LARGE((F66,H66),1)+J66+L66)</f>
        <v>0</v>
      </c>
      <c r="N66" s="101">
        <f t="shared" si="17"/>
      </c>
      <c r="O66" s="101">
        <f t="shared" si="23"/>
      </c>
      <c r="P66" s="102">
        <f t="shared" si="18"/>
        <v>0</v>
      </c>
      <c r="Q66" s="103">
        <f t="shared" si="19"/>
        <v>0</v>
      </c>
      <c r="AD66" s="149">
        <f t="shared" si="8"/>
        <v>0</v>
      </c>
      <c r="AE66" s="150">
        <f t="shared" si="9"/>
        <v>0</v>
      </c>
      <c r="AF66" s="149">
        <f t="shared" si="20"/>
        <v>0</v>
      </c>
      <c r="AG66" s="151">
        <f t="shared" si="24"/>
        <v>0</v>
      </c>
      <c r="AH66" s="151">
        <f t="shared" si="24"/>
        <v>0</v>
      </c>
      <c r="AI66" s="151">
        <f t="shared" si="24"/>
        <v>0</v>
      </c>
      <c r="AJ66" s="151">
        <f t="shared" si="24"/>
        <v>0</v>
      </c>
      <c r="AK66" s="151">
        <f t="shared" si="24"/>
        <v>0</v>
      </c>
      <c r="AL66" s="151">
        <f t="shared" si="24"/>
        <v>0</v>
      </c>
      <c r="AM66" s="151">
        <f t="shared" si="24"/>
        <v>0</v>
      </c>
      <c r="AN66" s="151">
        <f t="shared" si="24"/>
        <v>0</v>
      </c>
      <c r="AO66" s="151">
        <f t="shared" si="24"/>
        <v>0</v>
      </c>
      <c r="AP66" s="151">
        <f t="shared" si="24"/>
        <v>0</v>
      </c>
      <c r="AQ66" s="151">
        <f t="shared" si="24"/>
        <v>0</v>
      </c>
      <c r="AR66" s="151">
        <f t="shared" si="24"/>
        <v>0</v>
      </c>
      <c r="AS66" s="151">
        <f t="shared" si="24"/>
        <v>0</v>
      </c>
      <c r="AT66" s="151">
        <f t="shared" si="24"/>
        <v>0</v>
      </c>
      <c r="AU66" s="151">
        <f t="shared" si="24"/>
        <v>0</v>
      </c>
      <c r="AV66" s="151">
        <f t="shared" si="24"/>
        <v>0</v>
      </c>
      <c r="AW66" s="151">
        <f t="shared" si="24"/>
        <v>0</v>
      </c>
      <c r="AX66" s="151">
        <f t="shared" si="24"/>
        <v>0</v>
      </c>
      <c r="AY66" s="151">
        <f t="shared" si="24"/>
        <v>0</v>
      </c>
      <c r="AZ66" s="150">
        <f t="shared" si="24"/>
        <v>0</v>
      </c>
    </row>
    <row r="67" spans="1:52" ht="12.75">
      <c r="A67" s="90"/>
      <c r="B67" s="91"/>
      <c r="C67" s="92"/>
      <c r="D67" s="78"/>
      <c r="E67" s="94"/>
      <c r="F67" s="98">
        <f t="shared" si="15"/>
        <v>0</v>
      </c>
      <c r="G67" s="86"/>
      <c r="H67" s="98">
        <f t="shared" si="16"/>
        <v>0</v>
      </c>
      <c r="I67" s="94"/>
      <c r="J67" s="99">
        <f>IF(I67="NJ",0,IF(I67&lt;'Scoring Tables'!$S$4,0,VLOOKUP(I67,T_Long,11,TRUE)))</f>
        <v>0</v>
      </c>
      <c r="K67" s="94"/>
      <c r="L67" s="99">
        <f>IF(K67="NT",0,IF(K67&lt;'Scoring Tables'!$X$14,0,VLOOKUP(K67,T_Javlin,6,TRUE)))</f>
        <v>0</v>
      </c>
      <c r="M67" s="100">
        <f>(LARGE((F67,H67),1)+J67+L67)</f>
        <v>0</v>
      </c>
      <c r="N67" s="101">
        <f t="shared" si="17"/>
      </c>
      <c r="O67" s="101">
        <f t="shared" si="23"/>
      </c>
      <c r="P67" s="102">
        <f t="shared" si="18"/>
        <v>0</v>
      </c>
      <c r="Q67" s="103">
        <f t="shared" si="19"/>
        <v>0</v>
      </c>
      <c r="AD67" s="149">
        <f t="shared" si="8"/>
        <v>0</v>
      </c>
      <c r="AE67" s="150">
        <f t="shared" si="9"/>
        <v>0</v>
      </c>
      <c r="AF67" s="149">
        <f t="shared" si="20"/>
        <v>0</v>
      </c>
      <c r="AG67" s="151">
        <f t="shared" si="24"/>
        <v>0</v>
      </c>
      <c r="AH67" s="151">
        <f t="shared" si="24"/>
        <v>0</v>
      </c>
      <c r="AI67" s="151">
        <f t="shared" si="24"/>
        <v>0</v>
      </c>
      <c r="AJ67" s="151">
        <f t="shared" si="24"/>
        <v>0</v>
      </c>
      <c r="AK67" s="151">
        <f t="shared" si="24"/>
        <v>0</v>
      </c>
      <c r="AL67" s="151">
        <f t="shared" si="24"/>
        <v>0</v>
      </c>
      <c r="AM67" s="151">
        <f t="shared" si="24"/>
        <v>0</v>
      </c>
      <c r="AN67" s="151">
        <f t="shared" si="24"/>
        <v>0</v>
      </c>
      <c r="AO67" s="151">
        <f t="shared" si="24"/>
        <v>0</v>
      </c>
      <c r="AP67" s="151">
        <f t="shared" si="24"/>
        <v>0</v>
      </c>
      <c r="AQ67" s="151">
        <f t="shared" si="24"/>
        <v>0</v>
      </c>
      <c r="AR67" s="151">
        <f t="shared" si="24"/>
        <v>0</v>
      </c>
      <c r="AS67" s="151">
        <f t="shared" si="24"/>
        <v>0</v>
      </c>
      <c r="AT67" s="151">
        <f t="shared" si="24"/>
        <v>0</v>
      </c>
      <c r="AU67" s="151">
        <f t="shared" si="24"/>
        <v>0</v>
      </c>
      <c r="AV67" s="151">
        <f t="shared" si="24"/>
        <v>0</v>
      </c>
      <c r="AW67" s="151">
        <f t="shared" si="24"/>
        <v>0</v>
      </c>
      <c r="AX67" s="151">
        <f t="shared" si="24"/>
        <v>0</v>
      </c>
      <c r="AY67" s="151">
        <f t="shared" si="24"/>
        <v>0</v>
      </c>
      <c r="AZ67" s="150">
        <f t="shared" si="24"/>
        <v>0</v>
      </c>
    </row>
    <row r="68" spans="1:52" ht="12.75">
      <c r="A68" s="90"/>
      <c r="B68" s="91"/>
      <c r="C68" s="92"/>
      <c r="D68" s="78"/>
      <c r="E68" s="94"/>
      <c r="F68" s="98">
        <f t="shared" si="15"/>
        <v>0</v>
      </c>
      <c r="G68" s="86"/>
      <c r="H68" s="98">
        <f t="shared" si="16"/>
        <v>0</v>
      </c>
      <c r="I68" s="94"/>
      <c r="J68" s="99">
        <f>IF(I68="NJ",0,IF(I68&lt;'Scoring Tables'!$S$4,0,VLOOKUP(I68,T_Long,11,TRUE)))</f>
        <v>0</v>
      </c>
      <c r="K68" s="94"/>
      <c r="L68" s="99">
        <f>IF(K68="NT",0,IF(K68&lt;'Scoring Tables'!$X$14,0,VLOOKUP(K68,T_Javlin,6,TRUE)))</f>
        <v>0</v>
      </c>
      <c r="M68" s="100">
        <f>(LARGE((F68,H68),1)+J68+L68)</f>
        <v>0</v>
      </c>
      <c r="N68" s="101">
        <f t="shared" si="17"/>
      </c>
      <c r="O68" s="101">
        <f t="shared" si="23"/>
      </c>
      <c r="P68" s="102">
        <f t="shared" si="18"/>
        <v>0</v>
      </c>
      <c r="Q68" s="103">
        <f t="shared" si="19"/>
        <v>0</v>
      </c>
      <c r="AD68" s="149">
        <f t="shared" si="8"/>
        <v>0</v>
      </c>
      <c r="AE68" s="150">
        <f t="shared" si="9"/>
        <v>0</v>
      </c>
      <c r="AF68" s="149">
        <f t="shared" si="20"/>
        <v>0</v>
      </c>
      <c r="AG68" s="151">
        <f t="shared" si="24"/>
        <v>0</v>
      </c>
      <c r="AH68" s="151">
        <f t="shared" si="24"/>
        <v>0</v>
      </c>
      <c r="AI68" s="151">
        <f t="shared" si="24"/>
        <v>0</v>
      </c>
      <c r="AJ68" s="151">
        <f t="shared" si="24"/>
        <v>0</v>
      </c>
      <c r="AK68" s="151">
        <f t="shared" si="24"/>
        <v>0</v>
      </c>
      <c r="AL68" s="151">
        <f t="shared" si="24"/>
        <v>0</v>
      </c>
      <c r="AM68" s="151">
        <f t="shared" si="24"/>
        <v>0</v>
      </c>
      <c r="AN68" s="151">
        <f t="shared" si="24"/>
        <v>0</v>
      </c>
      <c r="AO68" s="151">
        <f t="shared" si="24"/>
        <v>0</v>
      </c>
      <c r="AP68" s="151">
        <f t="shared" si="24"/>
        <v>0</v>
      </c>
      <c r="AQ68" s="151">
        <f t="shared" si="24"/>
        <v>0</v>
      </c>
      <c r="AR68" s="151">
        <f t="shared" si="24"/>
        <v>0</v>
      </c>
      <c r="AS68" s="151">
        <f t="shared" si="24"/>
        <v>0</v>
      </c>
      <c r="AT68" s="151">
        <f t="shared" si="24"/>
        <v>0</v>
      </c>
      <c r="AU68" s="151">
        <f t="shared" si="24"/>
        <v>0</v>
      </c>
      <c r="AV68" s="151">
        <f t="shared" si="24"/>
        <v>0</v>
      </c>
      <c r="AW68" s="151">
        <f t="shared" si="24"/>
        <v>0</v>
      </c>
      <c r="AX68" s="151">
        <f t="shared" si="24"/>
        <v>0</v>
      </c>
      <c r="AY68" s="151">
        <f t="shared" si="24"/>
        <v>0</v>
      </c>
      <c r="AZ68" s="150">
        <f t="shared" si="24"/>
        <v>0</v>
      </c>
    </row>
    <row r="69" spans="1:52" ht="12.75">
      <c r="A69" s="90"/>
      <c r="B69" s="91"/>
      <c r="C69" s="92"/>
      <c r="D69" s="78"/>
      <c r="E69" s="94"/>
      <c r="F69" s="98">
        <f t="shared" si="15"/>
        <v>0</v>
      </c>
      <c r="G69" s="86"/>
      <c r="H69" s="98">
        <f t="shared" si="16"/>
        <v>0</v>
      </c>
      <c r="I69" s="94"/>
      <c r="J69" s="99">
        <f>IF(I69="NJ",0,IF(I69&lt;'Scoring Tables'!$S$4,0,VLOOKUP(I69,T_Long,11,TRUE)))</f>
        <v>0</v>
      </c>
      <c r="K69" s="94"/>
      <c r="L69" s="99">
        <f>IF(K69="NT",0,IF(K69&lt;'Scoring Tables'!$X$14,0,VLOOKUP(K69,T_Javlin,6,TRUE)))</f>
        <v>0</v>
      </c>
      <c r="M69" s="100">
        <f>(LARGE((F69,H69),1)+J69+L69)</f>
        <v>0</v>
      </c>
      <c r="N69" s="101">
        <f t="shared" si="17"/>
      </c>
      <c r="O69" s="101">
        <f t="shared" si="23"/>
      </c>
      <c r="P69" s="102">
        <f t="shared" si="18"/>
        <v>0</v>
      </c>
      <c r="Q69" s="103">
        <f t="shared" si="19"/>
        <v>0</v>
      </c>
      <c r="AD69" s="149">
        <f t="shared" si="8"/>
        <v>0</v>
      </c>
      <c r="AE69" s="150">
        <f t="shared" si="9"/>
        <v>0</v>
      </c>
      <c r="AF69" s="149">
        <f t="shared" si="20"/>
        <v>0</v>
      </c>
      <c r="AG69" s="151">
        <f t="shared" si="24"/>
        <v>0</v>
      </c>
      <c r="AH69" s="151">
        <f t="shared" si="24"/>
        <v>0</v>
      </c>
      <c r="AI69" s="151">
        <f aca="true" t="shared" si="25" ref="AG69:AZ70">IF($D69=AI$1,$M69,0)</f>
        <v>0</v>
      </c>
      <c r="AJ69" s="151">
        <f t="shared" si="25"/>
        <v>0</v>
      </c>
      <c r="AK69" s="151">
        <f t="shared" si="25"/>
        <v>0</v>
      </c>
      <c r="AL69" s="151">
        <f t="shared" si="25"/>
        <v>0</v>
      </c>
      <c r="AM69" s="151">
        <f t="shared" si="25"/>
        <v>0</v>
      </c>
      <c r="AN69" s="151">
        <f t="shared" si="25"/>
        <v>0</v>
      </c>
      <c r="AO69" s="151">
        <f t="shared" si="25"/>
        <v>0</v>
      </c>
      <c r="AP69" s="151">
        <f t="shared" si="25"/>
        <v>0</v>
      </c>
      <c r="AQ69" s="151">
        <f t="shared" si="25"/>
        <v>0</v>
      </c>
      <c r="AR69" s="151">
        <f t="shared" si="25"/>
        <v>0</v>
      </c>
      <c r="AS69" s="151">
        <f t="shared" si="25"/>
        <v>0</v>
      </c>
      <c r="AT69" s="151">
        <f t="shared" si="25"/>
        <v>0</v>
      </c>
      <c r="AU69" s="151">
        <f t="shared" si="25"/>
        <v>0</v>
      </c>
      <c r="AV69" s="151">
        <f t="shared" si="25"/>
        <v>0</v>
      </c>
      <c r="AW69" s="151">
        <f t="shared" si="25"/>
        <v>0</v>
      </c>
      <c r="AX69" s="151">
        <f t="shared" si="25"/>
        <v>0</v>
      </c>
      <c r="AY69" s="151">
        <f t="shared" si="25"/>
        <v>0</v>
      </c>
      <c r="AZ69" s="150">
        <f t="shared" si="25"/>
        <v>0</v>
      </c>
    </row>
    <row r="70" spans="1:52" ht="12.75">
      <c r="A70" s="131"/>
      <c r="B70" s="132"/>
      <c r="C70" s="133"/>
      <c r="D70" s="134"/>
      <c r="E70" s="135"/>
      <c r="F70" s="136">
        <f t="shared" si="15"/>
        <v>0</v>
      </c>
      <c r="G70" s="137"/>
      <c r="H70" s="136">
        <f t="shared" si="16"/>
        <v>0</v>
      </c>
      <c r="I70" s="135"/>
      <c r="J70" s="138">
        <f>IF(I70="NJ",0,IF(I70&lt;'Scoring Tables'!$S$4,0,VLOOKUP(I70,T_Long,11,TRUE)))</f>
        <v>0</v>
      </c>
      <c r="K70" s="135"/>
      <c r="L70" s="138">
        <f>IF(K70="NT",0,IF(K70&lt;'Scoring Tables'!$X$14,0,VLOOKUP(K70,T_Javlin,6,TRUE)))</f>
        <v>0</v>
      </c>
      <c r="M70" s="139">
        <f>(LARGE((F70,H70),1)+J70+L70)</f>
        <v>0</v>
      </c>
      <c r="N70" s="140">
        <f t="shared" si="17"/>
      </c>
      <c r="O70" s="140">
        <f t="shared" si="23"/>
      </c>
      <c r="P70" s="105">
        <f t="shared" si="18"/>
        <v>0</v>
      </c>
      <c r="Q70" s="141">
        <f t="shared" si="19"/>
        <v>0</v>
      </c>
      <c r="AD70" s="149">
        <f t="shared" si="8"/>
        <v>0</v>
      </c>
      <c r="AE70" s="150">
        <f t="shared" si="9"/>
        <v>0</v>
      </c>
      <c r="AF70" s="149">
        <f t="shared" si="20"/>
        <v>0</v>
      </c>
      <c r="AG70" s="151">
        <f t="shared" si="25"/>
        <v>0</v>
      </c>
      <c r="AH70" s="151">
        <f t="shared" si="25"/>
        <v>0</v>
      </c>
      <c r="AI70" s="151">
        <f t="shared" si="25"/>
        <v>0</v>
      </c>
      <c r="AJ70" s="151">
        <f t="shared" si="25"/>
        <v>0</v>
      </c>
      <c r="AK70" s="151">
        <f t="shared" si="25"/>
        <v>0</v>
      </c>
      <c r="AL70" s="151">
        <f t="shared" si="25"/>
        <v>0</v>
      </c>
      <c r="AM70" s="151">
        <f t="shared" si="25"/>
        <v>0</v>
      </c>
      <c r="AN70" s="151">
        <f t="shared" si="25"/>
        <v>0</v>
      </c>
      <c r="AO70" s="151">
        <f t="shared" si="25"/>
        <v>0</v>
      </c>
      <c r="AP70" s="151">
        <f t="shared" si="25"/>
        <v>0</v>
      </c>
      <c r="AQ70" s="151">
        <f t="shared" si="25"/>
        <v>0</v>
      </c>
      <c r="AR70" s="151">
        <f t="shared" si="25"/>
        <v>0</v>
      </c>
      <c r="AS70" s="151">
        <f t="shared" si="25"/>
        <v>0</v>
      </c>
      <c r="AT70" s="151">
        <f t="shared" si="25"/>
        <v>0</v>
      </c>
      <c r="AU70" s="151">
        <f t="shared" si="25"/>
        <v>0</v>
      </c>
      <c r="AV70" s="151">
        <f t="shared" si="25"/>
        <v>0</v>
      </c>
      <c r="AW70" s="151">
        <f t="shared" si="25"/>
        <v>0</v>
      </c>
      <c r="AX70" s="151">
        <f t="shared" si="25"/>
        <v>0</v>
      </c>
      <c r="AY70" s="151">
        <f t="shared" si="25"/>
        <v>0</v>
      </c>
      <c r="AZ70" s="150">
        <f t="shared" si="25"/>
        <v>0</v>
      </c>
    </row>
    <row r="71" spans="1:52" ht="12.75">
      <c r="A71" s="96"/>
      <c r="B71" s="96"/>
      <c r="C71" s="97"/>
      <c r="D71" s="96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AD71" s="144"/>
      <c r="AE71" s="152" t="s">
        <v>84</v>
      </c>
      <c r="AF71" s="146">
        <f>LARGE(AF$7:AF$70,1)</f>
        <v>162</v>
      </c>
      <c r="AG71" s="148">
        <f aca="true" t="shared" si="26" ref="AG71:AZ71">LARGE(AG$7:AG$70,1)</f>
        <v>0</v>
      </c>
      <c r="AH71" s="148">
        <f t="shared" si="26"/>
        <v>0</v>
      </c>
      <c r="AI71" s="148">
        <f t="shared" si="26"/>
        <v>0</v>
      </c>
      <c r="AJ71" s="148">
        <f t="shared" si="26"/>
        <v>0</v>
      </c>
      <c r="AK71" s="148">
        <f t="shared" si="26"/>
        <v>0</v>
      </c>
      <c r="AL71" s="148">
        <f t="shared" si="26"/>
        <v>0</v>
      </c>
      <c r="AM71" s="148">
        <f t="shared" si="26"/>
        <v>0</v>
      </c>
      <c r="AN71" s="148">
        <f t="shared" si="26"/>
        <v>0</v>
      </c>
      <c r="AO71" s="148">
        <f t="shared" si="26"/>
        <v>0</v>
      </c>
      <c r="AP71" s="148">
        <f t="shared" si="26"/>
        <v>0</v>
      </c>
      <c r="AQ71" s="148">
        <f t="shared" si="26"/>
        <v>0</v>
      </c>
      <c r="AR71" s="148">
        <f t="shared" si="26"/>
        <v>0</v>
      </c>
      <c r="AS71" s="148">
        <f t="shared" si="26"/>
        <v>0</v>
      </c>
      <c r="AT71" s="148">
        <f t="shared" si="26"/>
        <v>0</v>
      </c>
      <c r="AU71" s="148">
        <f t="shared" si="26"/>
        <v>0</v>
      </c>
      <c r="AV71" s="148">
        <f t="shared" si="26"/>
        <v>0</v>
      </c>
      <c r="AW71" s="148">
        <f t="shared" si="26"/>
        <v>0</v>
      </c>
      <c r="AX71" s="148">
        <f t="shared" si="26"/>
        <v>0</v>
      </c>
      <c r="AY71" s="148">
        <f t="shared" si="26"/>
        <v>0</v>
      </c>
      <c r="AZ71" s="147">
        <f t="shared" si="26"/>
        <v>0</v>
      </c>
    </row>
    <row r="72" spans="30:52" ht="12.75">
      <c r="AD72" s="144"/>
      <c r="AE72" s="152" t="s">
        <v>85</v>
      </c>
      <c r="AF72" s="149">
        <f>LARGE(AF$7:AF$70,2)</f>
        <v>126</v>
      </c>
      <c r="AG72" s="151">
        <f aca="true" t="shared" si="27" ref="AG72:AZ72">LARGE(AG$7:AG$70,2)</f>
        <v>0</v>
      </c>
      <c r="AH72" s="151">
        <f t="shared" si="27"/>
        <v>0</v>
      </c>
      <c r="AI72" s="151">
        <f t="shared" si="27"/>
        <v>0</v>
      </c>
      <c r="AJ72" s="151">
        <f t="shared" si="27"/>
        <v>0</v>
      </c>
      <c r="AK72" s="151">
        <f t="shared" si="27"/>
        <v>0</v>
      </c>
      <c r="AL72" s="151">
        <f t="shared" si="27"/>
        <v>0</v>
      </c>
      <c r="AM72" s="151">
        <f t="shared" si="27"/>
        <v>0</v>
      </c>
      <c r="AN72" s="151">
        <f t="shared" si="27"/>
        <v>0</v>
      </c>
      <c r="AO72" s="151">
        <f t="shared" si="27"/>
        <v>0</v>
      </c>
      <c r="AP72" s="151">
        <f t="shared" si="27"/>
        <v>0</v>
      </c>
      <c r="AQ72" s="151">
        <f t="shared" si="27"/>
        <v>0</v>
      </c>
      <c r="AR72" s="151">
        <f t="shared" si="27"/>
        <v>0</v>
      </c>
      <c r="AS72" s="151">
        <f t="shared" si="27"/>
        <v>0</v>
      </c>
      <c r="AT72" s="151">
        <f t="shared" si="27"/>
        <v>0</v>
      </c>
      <c r="AU72" s="151">
        <f t="shared" si="27"/>
        <v>0</v>
      </c>
      <c r="AV72" s="151">
        <f t="shared" si="27"/>
        <v>0</v>
      </c>
      <c r="AW72" s="151">
        <f t="shared" si="27"/>
        <v>0</v>
      </c>
      <c r="AX72" s="151">
        <f t="shared" si="27"/>
        <v>0</v>
      </c>
      <c r="AY72" s="151">
        <f t="shared" si="27"/>
        <v>0</v>
      </c>
      <c r="AZ72" s="150">
        <f t="shared" si="27"/>
        <v>0</v>
      </c>
    </row>
    <row r="73" spans="30:52" ht="12.75">
      <c r="AD73" s="144"/>
      <c r="AE73" s="152" t="s">
        <v>86</v>
      </c>
      <c r="AF73" s="153">
        <f>LARGE(AF$7:AF$70,3)</f>
        <v>114</v>
      </c>
      <c r="AG73" s="154">
        <f aca="true" t="shared" si="28" ref="AG73:AZ73">LARGE(AG$7:AG$70,3)</f>
        <v>0</v>
      </c>
      <c r="AH73" s="154">
        <f t="shared" si="28"/>
        <v>0</v>
      </c>
      <c r="AI73" s="154">
        <f t="shared" si="28"/>
        <v>0</v>
      </c>
      <c r="AJ73" s="154">
        <f t="shared" si="28"/>
        <v>0</v>
      </c>
      <c r="AK73" s="154">
        <f t="shared" si="28"/>
        <v>0</v>
      </c>
      <c r="AL73" s="154">
        <f t="shared" si="28"/>
        <v>0</v>
      </c>
      <c r="AM73" s="154">
        <f t="shared" si="28"/>
        <v>0</v>
      </c>
      <c r="AN73" s="154">
        <f t="shared" si="28"/>
        <v>0</v>
      </c>
      <c r="AO73" s="154">
        <f t="shared" si="28"/>
        <v>0</v>
      </c>
      <c r="AP73" s="154">
        <f t="shared" si="28"/>
        <v>0</v>
      </c>
      <c r="AQ73" s="154">
        <f t="shared" si="28"/>
        <v>0</v>
      </c>
      <c r="AR73" s="154">
        <f t="shared" si="28"/>
        <v>0</v>
      </c>
      <c r="AS73" s="154">
        <f t="shared" si="28"/>
        <v>0</v>
      </c>
      <c r="AT73" s="154">
        <f t="shared" si="28"/>
        <v>0</v>
      </c>
      <c r="AU73" s="154">
        <f t="shared" si="28"/>
        <v>0</v>
      </c>
      <c r="AV73" s="154">
        <f t="shared" si="28"/>
        <v>0</v>
      </c>
      <c r="AW73" s="154">
        <f t="shared" si="28"/>
        <v>0</v>
      </c>
      <c r="AX73" s="154">
        <f t="shared" si="28"/>
        <v>0</v>
      </c>
      <c r="AY73" s="154">
        <f t="shared" si="28"/>
        <v>0</v>
      </c>
      <c r="AZ73" s="155">
        <f t="shared" si="28"/>
        <v>0</v>
      </c>
    </row>
    <row r="74" spans="30:52" ht="12.75">
      <c r="AD74" s="144"/>
      <c r="AE74" s="156" t="s">
        <v>80</v>
      </c>
      <c r="AF74" s="149">
        <f>SUM(AF71:AF73)</f>
        <v>402</v>
      </c>
      <c r="AG74" s="151">
        <f aca="true" t="shared" si="29" ref="AG74:AZ74">SUM(AG71:AG73)</f>
        <v>0</v>
      </c>
      <c r="AH74" s="151">
        <f t="shared" si="29"/>
        <v>0</v>
      </c>
      <c r="AI74" s="151">
        <f t="shared" si="29"/>
        <v>0</v>
      </c>
      <c r="AJ74" s="151">
        <f t="shared" si="29"/>
        <v>0</v>
      </c>
      <c r="AK74" s="151">
        <f t="shared" si="29"/>
        <v>0</v>
      </c>
      <c r="AL74" s="151">
        <f t="shared" si="29"/>
        <v>0</v>
      </c>
      <c r="AM74" s="151">
        <f t="shared" si="29"/>
        <v>0</v>
      </c>
      <c r="AN74" s="151">
        <f t="shared" si="29"/>
        <v>0</v>
      </c>
      <c r="AO74" s="151">
        <f t="shared" si="29"/>
        <v>0</v>
      </c>
      <c r="AP74" s="151">
        <f t="shared" si="29"/>
        <v>0</v>
      </c>
      <c r="AQ74" s="151">
        <f t="shared" si="29"/>
        <v>0</v>
      </c>
      <c r="AR74" s="151">
        <f t="shared" si="29"/>
        <v>0</v>
      </c>
      <c r="AS74" s="151">
        <f t="shared" si="29"/>
        <v>0</v>
      </c>
      <c r="AT74" s="151">
        <f t="shared" si="29"/>
        <v>0</v>
      </c>
      <c r="AU74" s="151">
        <f t="shared" si="29"/>
        <v>0</v>
      </c>
      <c r="AV74" s="151">
        <f t="shared" si="29"/>
        <v>0</v>
      </c>
      <c r="AW74" s="151">
        <f t="shared" si="29"/>
        <v>0</v>
      </c>
      <c r="AX74" s="151">
        <f t="shared" si="29"/>
        <v>0</v>
      </c>
      <c r="AY74" s="151">
        <f t="shared" si="29"/>
        <v>0</v>
      </c>
      <c r="AZ74" s="150">
        <f t="shared" si="29"/>
        <v>0</v>
      </c>
    </row>
    <row r="75" spans="30:52" ht="12.75">
      <c r="AD75" s="144"/>
      <c r="AE75" s="156" t="s">
        <v>81</v>
      </c>
      <c r="AF75" s="149">
        <f aca="true" t="shared" si="30" ref="AF75:AZ75">COUNTIF(AF7:AF70,"&gt;0")</f>
        <v>13</v>
      </c>
      <c r="AG75" s="151">
        <f t="shared" si="30"/>
        <v>0</v>
      </c>
      <c r="AH75" s="151">
        <f t="shared" si="30"/>
        <v>0</v>
      </c>
      <c r="AI75" s="151">
        <f t="shared" si="30"/>
        <v>0</v>
      </c>
      <c r="AJ75" s="151">
        <f t="shared" si="30"/>
        <v>0</v>
      </c>
      <c r="AK75" s="151">
        <f t="shared" si="30"/>
        <v>0</v>
      </c>
      <c r="AL75" s="151">
        <f t="shared" si="30"/>
        <v>0</v>
      </c>
      <c r="AM75" s="151">
        <f t="shared" si="30"/>
        <v>0</v>
      </c>
      <c r="AN75" s="151">
        <f t="shared" si="30"/>
        <v>0</v>
      </c>
      <c r="AO75" s="151">
        <f t="shared" si="30"/>
        <v>0</v>
      </c>
      <c r="AP75" s="151">
        <f t="shared" si="30"/>
        <v>0</v>
      </c>
      <c r="AQ75" s="151">
        <f t="shared" si="30"/>
        <v>0</v>
      </c>
      <c r="AR75" s="151">
        <f t="shared" si="30"/>
        <v>0</v>
      </c>
      <c r="AS75" s="151">
        <f t="shared" si="30"/>
        <v>0</v>
      </c>
      <c r="AT75" s="151">
        <f t="shared" si="30"/>
        <v>0</v>
      </c>
      <c r="AU75" s="151">
        <f t="shared" si="30"/>
        <v>0</v>
      </c>
      <c r="AV75" s="151">
        <f t="shared" si="30"/>
        <v>0</v>
      </c>
      <c r="AW75" s="151">
        <f t="shared" si="30"/>
        <v>0</v>
      </c>
      <c r="AX75" s="151">
        <f t="shared" si="30"/>
        <v>0</v>
      </c>
      <c r="AY75" s="151">
        <f t="shared" si="30"/>
        <v>0</v>
      </c>
      <c r="AZ75" s="150">
        <f t="shared" si="30"/>
        <v>0</v>
      </c>
    </row>
    <row r="76" spans="30:52" ht="12.75">
      <c r="AD76" s="144"/>
      <c r="AE76" s="156" t="s">
        <v>82</v>
      </c>
      <c r="AF76" s="157">
        <f>IF(AF75&gt;=3,AF74,0)</f>
        <v>402</v>
      </c>
      <c r="AG76" s="158">
        <f aca="true" t="shared" si="31" ref="AG76:AZ76">IF(AG75&gt;=3,AG74,0)</f>
        <v>0</v>
      </c>
      <c r="AH76" s="158">
        <f t="shared" si="31"/>
        <v>0</v>
      </c>
      <c r="AI76" s="158">
        <f t="shared" si="31"/>
        <v>0</v>
      </c>
      <c r="AJ76" s="158">
        <f t="shared" si="31"/>
        <v>0</v>
      </c>
      <c r="AK76" s="158">
        <f t="shared" si="31"/>
        <v>0</v>
      </c>
      <c r="AL76" s="158">
        <f t="shared" si="31"/>
        <v>0</v>
      </c>
      <c r="AM76" s="158">
        <f t="shared" si="31"/>
        <v>0</v>
      </c>
      <c r="AN76" s="158">
        <f t="shared" si="31"/>
        <v>0</v>
      </c>
      <c r="AO76" s="158">
        <f t="shared" si="31"/>
        <v>0</v>
      </c>
      <c r="AP76" s="158">
        <f t="shared" si="31"/>
        <v>0</v>
      </c>
      <c r="AQ76" s="158">
        <f t="shared" si="31"/>
        <v>0</v>
      </c>
      <c r="AR76" s="158">
        <f t="shared" si="31"/>
        <v>0</v>
      </c>
      <c r="AS76" s="158">
        <f t="shared" si="31"/>
        <v>0</v>
      </c>
      <c r="AT76" s="158">
        <f t="shared" si="31"/>
        <v>0</v>
      </c>
      <c r="AU76" s="158">
        <f t="shared" si="31"/>
        <v>0</v>
      </c>
      <c r="AV76" s="158">
        <f t="shared" si="31"/>
        <v>0</v>
      </c>
      <c r="AW76" s="158">
        <f t="shared" si="31"/>
        <v>0</v>
      </c>
      <c r="AX76" s="158">
        <f t="shared" si="31"/>
        <v>0</v>
      </c>
      <c r="AY76" s="158">
        <f t="shared" si="31"/>
        <v>0</v>
      </c>
      <c r="AZ76" s="162">
        <f t="shared" si="31"/>
        <v>0</v>
      </c>
    </row>
    <row r="77" spans="30:52" ht="12.75">
      <c r="AD77" s="144"/>
      <c r="AE77" s="159" t="s">
        <v>83</v>
      </c>
      <c r="AF77" s="160">
        <f aca="true" t="shared" si="32" ref="AF77:AZ77">IF(AF76=0,0,RANK(AF76,$AF76:$AZ76))</f>
        <v>1</v>
      </c>
      <c r="AG77" s="161">
        <f t="shared" si="32"/>
        <v>0</v>
      </c>
      <c r="AH77" s="161">
        <f t="shared" si="32"/>
        <v>0</v>
      </c>
      <c r="AI77" s="161">
        <f t="shared" si="32"/>
        <v>0</v>
      </c>
      <c r="AJ77" s="161">
        <f t="shared" si="32"/>
        <v>0</v>
      </c>
      <c r="AK77" s="161">
        <f t="shared" si="32"/>
        <v>0</v>
      </c>
      <c r="AL77" s="161">
        <f t="shared" si="32"/>
        <v>0</v>
      </c>
      <c r="AM77" s="161">
        <f t="shared" si="32"/>
        <v>0</v>
      </c>
      <c r="AN77" s="161">
        <f t="shared" si="32"/>
        <v>0</v>
      </c>
      <c r="AO77" s="161">
        <f t="shared" si="32"/>
        <v>0</v>
      </c>
      <c r="AP77" s="161">
        <f t="shared" si="32"/>
        <v>0</v>
      </c>
      <c r="AQ77" s="161">
        <f t="shared" si="32"/>
        <v>0</v>
      </c>
      <c r="AR77" s="161">
        <f t="shared" si="32"/>
        <v>0</v>
      </c>
      <c r="AS77" s="161">
        <f t="shared" si="32"/>
        <v>0</v>
      </c>
      <c r="AT77" s="161">
        <f t="shared" si="32"/>
        <v>0</v>
      </c>
      <c r="AU77" s="161">
        <f t="shared" si="32"/>
        <v>0</v>
      </c>
      <c r="AV77" s="161">
        <f t="shared" si="32"/>
        <v>0</v>
      </c>
      <c r="AW77" s="161">
        <f t="shared" si="32"/>
        <v>0</v>
      </c>
      <c r="AX77" s="161">
        <f t="shared" si="32"/>
        <v>0</v>
      </c>
      <c r="AY77" s="161">
        <f t="shared" si="32"/>
        <v>0</v>
      </c>
      <c r="AZ77" s="163">
        <f t="shared" si="32"/>
        <v>0</v>
      </c>
    </row>
  </sheetData>
  <sheetProtection sheet="1" objects="1" scenarios="1"/>
  <mergeCells count="23">
    <mergeCell ref="A1:Q1"/>
    <mergeCell ref="F2:J2"/>
    <mergeCell ref="AH1:AH6"/>
    <mergeCell ref="AI1:AI6"/>
    <mergeCell ref="AJ1:AJ6"/>
    <mergeCell ref="AK1:AK6"/>
    <mergeCell ref="AF1:AF6"/>
    <mergeCell ref="AG1:AG6"/>
    <mergeCell ref="AP1:AP6"/>
    <mergeCell ref="AQ1:AQ6"/>
    <mergeCell ref="AR1:AR6"/>
    <mergeCell ref="AS1:AS6"/>
    <mergeCell ref="AL1:AL6"/>
    <mergeCell ref="AM1:AM6"/>
    <mergeCell ref="AN1:AN6"/>
    <mergeCell ref="AO1:AO6"/>
    <mergeCell ref="AX1:AX6"/>
    <mergeCell ref="AY1:AY6"/>
    <mergeCell ref="AZ1:AZ6"/>
    <mergeCell ref="AT1:AT6"/>
    <mergeCell ref="AU1:AU6"/>
    <mergeCell ref="AV1:AV6"/>
    <mergeCell ref="AW1:AW6"/>
  </mergeCells>
  <dataValidations count="2">
    <dataValidation type="list" allowBlank="1" showInputMessage="1" showErrorMessage="1" sqref="C7:C70">
      <formula1>MF</formula1>
    </dataValidation>
    <dataValidation type="list" allowBlank="1" showInputMessage="1" showErrorMessage="1" sqref="D7:D70">
      <formula1>Clubs</formula1>
    </dataValidation>
  </dataValidations>
  <printOptions horizontalCentered="1"/>
  <pageMargins left="0.7480314960629921" right="0.7480314960629921" top="0.5118110236220472" bottom="0.65" header="0.5118110236220472" footer="0.36"/>
  <pageSetup horizontalDpi="600" verticalDpi="600" orientation="landscape" paperSize="9" r:id="rId1"/>
  <headerFooter alignWithMargins="0">
    <oddFooter>&amp;L&amp;8Point Scores in accordance with AAAE 5 Star Award Scheme 2000&amp;R&amp;8NT = No Throw, NJ = No Jump
DNF = Did Not Finish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AO42"/>
  <sheetViews>
    <sheetView showZeros="0" zoomScalePageLayoutView="0" workbookViewId="0" topLeftCell="A1">
      <selection activeCell="A21" sqref="A21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6.28125" style="55" customWidth="1"/>
    <col min="6" max="6" width="5.8515625" style="55" customWidth="1"/>
    <col min="7" max="7" width="3.421875" style="55" bestFit="1" customWidth="1"/>
    <col min="8" max="8" width="7.8515625" style="55" customWidth="1"/>
    <col min="9" max="9" width="5.8515625" style="55" customWidth="1"/>
    <col min="10" max="10" width="3.421875" style="55" bestFit="1" customWidth="1"/>
    <col min="11" max="11" width="6.7109375" style="55" customWidth="1"/>
    <col min="12" max="12" width="5.8515625" style="55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421875" style="55" customWidth="1"/>
    <col min="18" max="18" width="5.8515625" style="55" customWidth="1"/>
    <col min="19" max="19" width="3.421875" style="55" bestFit="1" customWidth="1"/>
    <col min="20" max="20" width="6.00390625" style="55" customWidth="1"/>
    <col min="21" max="21" width="5.8515625" style="55" customWidth="1"/>
    <col min="22" max="22" width="3.421875" style="55" bestFit="1" customWidth="1"/>
    <col min="23" max="23" width="6.00390625" style="55" customWidth="1"/>
    <col min="24" max="24" width="5.8515625" style="55" customWidth="1"/>
    <col min="25" max="25" width="3.421875" style="55" bestFit="1" customWidth="1"/>
    <col min="26" max="26" width="8.421875" style="55" bestFit="1" customWidth="1"/>
    <col min="27" max="27" width="8.421875" style="55" customWidth="1"/>
    <col min="28" max="28" width="7.28125" style="55" customWidth="1"/>
    <col min="29" max="29" width="0" style="55" hidden="1" customWidth="1"/>
    <col min="30" max="38" width="9.8515625" style="51" customWidth="1"/>
    <col min="39" max="40" width="9.140625" style="51" customWidth="1"/>
    <col min="41" max="41" width="6.28125" style="51" hidden="1" customWidth="1"/>
    <col min="42" max="16384" width="9.140625" style="51" customWidth="1"/>
  </cols>
  <sheetData>
    <row r="1" spans="1:29" ht="22.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12.75">
      <c r="A2" s="60"/>
      <c r="B2" s="52"/>
      <c r="C2" s="52"/>
      <c r="D2" s="53"/>
      <c r="E2" s="54"/>
      <c r="F2" s="54"/>
      <c r="G2" s="54"/>
      <c r="H2" s="54"/>
      <c r="I2" s="239" t="s">
        <v>125</v>
      </c>
      <c r="J2" s="239"/>
      <c r="K2" s="239"/>
      <c r="L2" s="239"/>
      <c r="M2" s="239"/>
      <c r="N2" s="239"/>
      <c r="O2" s="239"/>
      <c r="P2" s="239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Y3" s="54"/>
      <c r="AB3" s="106"/>
      <c r="AC3" s="53"/>
    </row>
    <row r="4" spans="1:38" ht="12.75">
      <c r="A4" s="59" t="s">
        <v>64</v>
      </c>
      <c r="B4" s="59"/>
      <c r="C4" s="60" t="str">
        <f>ArrangedBy</f>
        <v>Handforth W A A C</v>
      </c>
      <c r="D4" s="54"/>
      <c r="H4" s="61" t="s">
        <v>62</v>
      </c>
      <c r="I4" s="62"/>
      <c r="K4" s="63" t="s">
        <v>60</v>
      </c>
      <c r="O4" s="54"/>
      <c r="Q4" s="54"/>
      <c r="R4" s="54"/>
      <c r="T4" s="54"/>
      <c r="U4" s="54"/>
      <c r="W4" s="62"/>
      <c r="X4" s="62" t="s">
        <v>87</v>
      </c>
      <c r="Z4" s="63" t="str">
        <f>Date</f>
        <v>3rd July 2008</v>
      </c>
      <c r="AA4" s="63"/>
      <c r="AB4" s="54"/>
      <c r="AD4" s="55"/>
      <c r="AE4" s="55"/>
      <c r="AF4" s="55"/>
      <c r="AG4" s="55"/>
      <c r="AH4" s="55"/>
      <c r="AI4" s="55"/>
      <c r="AJ4" s="55"/>
      <c r="AK4" s="55"/>
      <c r="AL4" s="55"/>
    </row>
    <row r="5" spans="1:29" ht="12.75">
      <c r="A5" s="59" t="s">
        <v>65</v>
      </c>
      <c r="B5" s="59"/>
      <c r="C5" s="60">
        <f>Sponsor</f>
        <v>0</v>
      </c>
      <c r="D5" s="54"/>
      <c r="H5" s="61" t="s">
        <v>63</v>
      </c>
      <c r="I5" s="62"/>
      <c r="K5" s="63"/>
      <c r="O5" s="54"/>
      <c r="Q5" s="54"/>
      <c r="R5" s="54"/>
      <c r="T5" s="54"/>
      <c r="U5" s="54"/>
      <c r="W5" s="54"/>
      <c r="X5" s="54"/>
      <c r="Z5" s="54"/>
      <c r="AA5" s="54"/>
      <c r="AB5" s="54"/>
      <c r="AC5" s="54"/>
    </row>
    <row r="6" spans="1:41" s="75" customFormat="1" ht="38.25">
      <c r="A6" s="64" t="s">
        <v>0</v>
      </c>
      <c r="B6" s="65" t="s">
        <v>1</v>
      </c>
      <c r="C6" s="65" t="s">
        <v>2</v>
      </c>
      <c r="D6" s="66" t="s">
        <v>89</v>
      </c>
      <c r="E6" s="67" t="s">
        <v>3</v>
      </c>
      <c r="F6" s="207" t="s">
        <v>6</v>
      </c>
      <c r="G6" s="208" t="s">
        <v>208</v>
      </c>
      <c r="H6" s="107" t="s">
        <v>162</v>
      </c>
      <c r="I6" s="207" t="s">
        <v>6</v>
      </c>
      <c r="J6" s="208" t="s">
        <v>208</v>
      </c>
      <c r="K6" s="67" t="s">
        <v>4</v>
      </c>
      <c r="L6" s="207" t="s">
        <v>6</v>
      </c>
      <c r="M6" s="208" t="s">
        <v>208</v>
      </c>
      <c r="N6" s="69" t="s">
        <v>50</v>
      </c>
      <c r="O6" s="209" t="s">
        <v>6</v>
      </c>
      <c r="P6" s="211" t="s">
        <v>208</v>
      </c>
      <c r="Q6" s="69" t="s">
        <v>52</v>
      </c>
      <c r="R6" s="209" t="s">
        <v>6</v>
      </c>
      <c r="S6" s="211" t="s">
        <v>208</v>
      </c>
      <c r="T6" s="71" t="s">
        <v>22</v>
      </c>
      <c r="U6" s="209" t="s">
        <v>6</v>
      </c>
      <c r="V6" s="211" t="s">
        <v>208</v>
      </c>
      <c r="W6" s="71" t="s">
        <v>5</v>
      </c>
      <c r="X6" s="209" t="s">
        <v>6</v>
      </c>
      <c r="Y6" s="211" t="s">
        <v>208</v>
      </c>
      <c r="Z6" s="72" t="s">
        <v>49</v>
      </c>
      <c r="AA6" s="66" t="s">
        <v>129</v>
      </c>
      <c r="AB6" s="73" t="s">
        <v>130</v>
      </c>
      <c r="AC6" s="108" t="s">
        <v>38</v>
      </c>
      <c r="AD6" s="74"/>
      <c r="AE6" s="74"/>
      <c r="AF6" s="74"/>
      <c r="AG6" s="74"/>
      <c r="AH6" s="74"/>
      <c r="AI6" s="74"/>
      <c r="AJ6" s="74"/>
      <c r="AK6" s="74"/>
      <c r="AL6" s="74"/>
      <c r="AO6" s="164" t="s">
        <v>93</v>
      </c>
    </row>
    <row r="7" spans="1:41" s="85" customFormat="1" ht="12.75">
      <c r="A7" s="90">
        <v>88</v>
      </c>
      <c r="B7" s="109" t="s">
        <v>226</v>
      </c>
      <c r="C7" s="78" t="s">
        <v>227</v>
      </c>
      <c r="D7" s="89"/>
      <c r="E7" s="110">
        <v>15.4</v>
      </c>
      <c r="F7" s="221">
        <f aca="true" t="shared" si="0" ref="F7:F41">IF(E7="DNF",0,IF(E7=0,0,IF(E7&lt;=14,VLOOKUP(E7,T_100m,15,TRUE),IF(E7&lt;=15.2,VLOOKUP(E7,T_100m,15,TRUE),IF(E7&lt;=21,VLOOKUP(E7-0.01,T_100m,15,TRUE)-1,0)))))</f>
        <v>47</v>
      </c>
      <c r="G7" s="222">
        <f aca="true" t="shared" si="1" ref="G7:G41">IF(F7=0,0,IF(E7&lt;=INDEX(AAA_U13B_100m,1,1),"G1",IF(E7&lt;=INDEX(AAA_U13B_100m,1,2),"G2",IF(E7&lt;=INDEX(AAA_U13B_100m,1,3),"G3",IF(E7&lt;=INDEX(AAA_U13B_100m,1,4),"G4",0)))))</f>
        <v>0</v>
      </c>
      <c r="H7" s="110"/>
      <c r="I7" s="221">
        <f aca="true" t="shared" si="2" ref="I7:I41">IF(H7="DNF",0,IF(H7=0,0,VLOOKUP(H7,T_70_Hurdles,7,TRUE)))</f>
        <v>0</v>
      </c>
      <c r="J7" s="169">
        <f aca="true" t="shared" si="3" ref="J7:J41">IF(I7=0,0,IF(H7&lt;=INDEX(AAA_U13B_75mH,1,1),"G1",IF(H7&lt;=INDEX(AAA_U13B_75mH,1,2),"G2",IF(H7&lt;=INDEX(AAA_U13B_75mH,1,3),"G3",IF(H7&lt;=INDEX(AAA_U13B_75mH,1,4),"G4",0)))))</f>
        <v>0</v>
      </c>
      <c r="K7" s="81">
        <v>0.002673611111111111</v>
      </c>
      <c r="L7" s="221">
        <f aca="true" t="shared" si="4" ref="L7:L41">IF(K7="DNF",0,IF(K7=0,0,VLOOKUP(K7,T_800m,11,TRUE)-1))</f>
        <v>34</v>
      </c>
      <c r="M7" s="169">
        <f aca="true" t="shared" si="5" ref="M7:M41">IF(L7=0,0,IF(K7&lt;=INDEX(AAA_U13B_800m,1,1),"G1",IF(K7&lt;=INDEX(AAA_U13B_800m,1,2),"G2",IF(K7&lt;=INDEX(AAA_U13B_800m,1,3),"G3",IF(K7&lt;=INDEX(AAA_U13B_800m,1,4),"G4",0)))))</f>
        <v>0</v>
      </c>
      <c r="N7" s="111">
        <v>3.34</v>
      </c>
      <c r="O7" s="210">
        <f aca="true" t="shared" si="6" ref="O7:O41">IF(N7="NJ",0,IF(N7=0,0,VLOOKUP(N7,T_Long,11,TRUE)))</f>
        <v>49</v>
      </c>
      <c r="P7" s="212">
        <f aca="true" t="shared" si="7" ref="P7:P41">IF(O7=0,0,IF(N7&gt;=INDEX(AAA_U13B_LJ,1,1),"G1",IF(N7&gt;=INDEX(AAA_U13B_LJ,1,2),"G2",IF(N7&gt;=INDEX(AAA_U13B_LJ,1,3),"G3",IF(N7&gt;=INDEX(AAA_U13B_LJ,1,4),"G4",0)))))</f>
        <v>0</v>
      </c>
      <c r="Q7" s="111"/>
      <c r="R7" s="210">
        <f aca="true" t="shared" si="8" ref="R7:R41">IF(Q7="NJ",0,IF(Q7=0,0,VLOOKUP(Q7,T_High,12,TRUE)))</f>
        <v>0</v>
      </c>
      <c r="S7" s="212">
        <f aca="true" t="shared" si="9" ref="S7:S41">IF(R7=0,0,IF(Q7&gt;=INDEX(AAA_U13B_HJ,1,1),"G1",IF(Q7&gt;=INDEX(AAA_U13B_HJ,1,2),"G2",IF(Q7&gt;=INDEX(AAA_U13B_HJ,1,3),"G3",IF(Q7&gt;=INDEX(AAA_U13B_HJ,1,4),"G4",0)))))</f>
        <v>0</v>
      </c>
      <c r="T7" s="111">
        <v>4.52</v>
      </c>
      <c r="U7" s="210">
        <f aca="true" t="shared" si="10" ref="U7:U38">IF(T7="NT",0,IF(T7&lt;2,0,VLOOKUP(T7,T_Shot,8,TRUE)))</f>
        <v>36</v>
      </c>
      <c r="V7" s="212">
        <f aca="true" t="shared" si="11" ref="V7:V41">IF(U7=0,0,IF(T7&gt;=INDEX(AAA_U13B_Shot,1,1),"G1",IF(T7&gt;=INDEX(AAA_U13B_Shot,1,2),"G2",IF(T7&gt;=INDEX(AAA_U13B_Shot,1,3),"G3",IF(T7&gt;=INDEX(AAA_U13B_Shot,1,4),"G4",0)))))</f>
        <v>0</v>
      </c>
      <c r="W7" s="111"/>
      <c r="X7" s="210">
        <f aca="true" t="shared" si="12" ref="X7:X38">IF(W7="NT",0,IF(W7&lt;4,0,VLOOKUP(W7,T_Javlin,6,TRUE)))</f>
        <v>0</v>
      </c>
      <c r="Y7" s="212">
        <f aca="true" t="shared" si="13" ref="Y7:Y41">IF(X7=0,0,IF(W7&gt;=INDEX(AAA_U13B_Jav,1,1),"G1",IF(W7&gt;=INDEX(AAA_U13B_Jav,1,2),"G2",IF(W7&gt;=INDEX(AAA_U13B_Jav,1,3),"G3",IF(W7&gt;=INDEX(AAA_U13B_Jav,1,4),"G4",0)))))</f>
        <v>0</v>
      </c>
      <c r="Z7" s="100">
        <f>(LARGE((F7,I7,L7),1)+LARGE((O7,R7),1)+LARGE((U7,X7),1))</f>
        <v>132</v>
      </c>
      <c r="AA7" s="101">
        <f aca="true" t="shared" si="14" ref="AA7:AA41">IF(AO7=0,"",RANK(Z7,AO$7:AO$41))</f>
      </c>
      <c r="AB7" s="104">
        <f aca="true" t="shared" si="15" ref="AB7:AB41">IF(Z7=0,"",RANK(Z7,Z$7:Z$41))</f>
        <v>6</v>
      </c>
      <c r="AC7" s="87" t="str">
        <f aca="true" t="shared" si="16" ref="AC7:AC38">IF(Z7&lt;15,"",HLOOKUP(Z7,T_U13B_3_Events,5))</f>
        <v>3*</v>
      </c>
      <c r="AD7" s="84"/>
      <c r="AE7" s="84"/>
      <c r="AF7" s="84"/>
      <c r="AG7" s="84"/>
      <c r="AH7" s="84"/>
      <c r="AI7" s="84"/>
      <c r="AJ7" s="84"/>
      <c r="AK7" s="84"/>
      <c r="AL7" s="84"/>
      <c r="AO7" s="165">
        <f aca="true" t="shared" si="17" ref="AO7:AO41">IF(D7="C",Z7,0)</f>
        <v>0</v>
      </c>
    </row>
    <row r="8" spans="1:41" s="85" customFormat="1" ht="12.75">
      <c r="A8" s="112">
        <v>121</v>
      </c>
      <c r="B8" s="109" t="s">
        <v>228</v>
      </c>
      <c r="C8" s="78" t="s">
        <v>73</v>
      </c>
      <c r="D8" s="89"/>
      <c r="E8" s="110">
        <v>11.62</v>
      </c>
      <c r="F8" s="221">
        <f t="shared" si="0"/>
        <v>97</v>
      </c>
      <c r="G8" s="169" t="str">
        <f t="shared" si="1"/>
        <v>G1</v>
      </c>
      <c r="H8" s="110"/>
      <c r="I8" s="221">
        <f t="shared" si="2"/>
        <v>0</v>
      </c>
      <c r="J8" s="169">
        <f t="shared" si="3"/>
        <v>0</v>
      </c>
      <c r="K8" s="86">
        <v>0.0018750000000000001</v>
      </c>
      <c r="L8" s="221">
        <f t="shared" si="4"/>
        <v>69</v>
      </c>
      <c r="M8" s="169">
        <f t="shared" si="5"/>
        <v>0</v>
      </c>
      <c r="N8" s="111">
        <v>4.2</v>
      </c>
      <c r="O8" s="210">
        <f t="shared" si="6"/>
        <v>73</v>
      </c>
      <c r="P8" s="212" t="str">
        <f t="shared" si="7"/>
        <v>G3</v>
      </c>
      <c r="Q8" s="111"/>
      <c r="R8" s="210">
        <f t="shared" si="8"/>
        <v>0</v>
      </c>
      <c r="S8" s="212">
        <f t="shared" si="9"/>
        <v>0</v>
      </c>
      <c r="T8" s="111"/>
      <c r="U8" s="210">
        <f t="shared" si="10"/>
        <v>0</v>
      </c>
      <c r="V8" s="212">
        <f t="shared" si="11"/>
        <v>0</v>
      </c>
      <c r="W8" s="111"/>
      <c r="X8" s="210">
        <f t="shared" si="12"/>
        <v>0</v>
      </c>
      <c r="Y8" s="212">
        <f t="shared" si="13"/>
        <v>0</v>
      </c>
      <c r="Z8" s="100">
        <f>(LARGE((F8,I8,L8),1)+LARGE((O8,R8),1)+LARGE((U8,X8),1))</f>
        <v>170</v>
      </c>
      <c r="AA8" s="101">
        <f t="shared" si="14"/>
      </c>
      <c r="AB8" s="104">
        <f t="shared" si="15"/>
        <v>2</v>
      </c>
      <c r="AC8" s="87" t="str">
        <f t="shared" si="16"/>
        <v>4*</v>
      </c>
      <c r="AO8" s="165">
        <f t="shared" si="17"/>
        <v>0</v>
      </c>
    </row>
    <row r="9" spans="1:41" s="85" customFormat="1" ht="12.75">
      <c r="A9" s="112">
        <v>85</v>
      </c>
      <c r="B9" s="109" t="s">
        <v>229</v>
      </c>
      <c r="C9" s="78" t="s">
        <v>73</v>
      </c>
      <c r="D9" s="89"/>
      <c r="E9" s="110">
        <v>17.8</v>
      </c>
      <c r="F9" s="221">
        <f t="shared" si="0"/>
        <v>23</v>
      </c>
      <c r="G9" s="169">
        <f t="shared" si="1"/>
        <v>0</v>
      </c>
      <c r="H9" s="110"/>
      <c r="I9" s="221">
        <f t="shared" si="2"/>
        <v>0</v>
      </c>
      <c r="J9" s="169">
        <f t="shared" si="3"/>
        <v>0</v>
      </c>
      <c r="K9" s="86">
        <v>0.0021296296296296298</v>
      </c>
      <c r="L9" s="221">
        <f t="shared" si="4"/>
        <v>58</v>
      </c>
      <c r="M9" s="169">
        <f t="shared" si="5"/>
        <v>0</v>
      </c>
      <c r="N9" s="111">
        <v>3.57</v>
      </c>
      <c r="O9" s="210">
        <f t="shared" si="6"/>
        <v>57</v>
      </c>
      <c r="P9" s="212">
        <f t="shared" si="7"/>
        <v>0</v>
      </c>
      <c r="Q9" s="111"/>
      <c r="R9" s="210">
        <f t="shared" si="8"/>
        <v>0</v>
      </c>
      <c r="S9" s="212">
        <f t="shared" si="9"/>
        <v>0</v>
      </c>
      <c r="T9" s="111">
        <v>4.75</v>
      </c>
      <c r="U9" s="210">
        <f t="shared" si="10"/>
        <v>38</v>
      </c>
      <c r="V9" s="212">
        <f t="shared" si="11"/>
        <v>0</v>
      </c>
      <c r="W9" s="111"/>
      <c r="X9" s="210">
        <f t="shared" si="12"/>
        <v>0</v>
      </c>
      <c r="Y9" s="212">
        <f t="shared" si="13"/>
        <v>0</v>
      </c>
      <c r="Z9" s="100">
        <f>(LARGE((F9,I9,L9),1)+LARGE((O9,R9),1)+LARGE((U9,X9),1))</f>
        <v>153</v>
      </c>
      <c r="AA9" s="101">
        <f t="shared" si="14"/>
      </c>
      <c r="AB9" s="104">
        <f t="shared" si="15"/>
        <v>4</v>
      </c>
      <c r="AC9" s="87" t="str">
        <f t="shared" si="16"/>
        <v>3*</v>
      </c>
      <c r="AO9" s="165">
        <f t="shared" si="17"/>
        <v>0</v>
      </c>
    </row>
    <row r="10" spans="1:41" s="85" customFormat="1" ht="12.75">
      <c r="A10" s="90">
        <v>123</v>
      </c>
      <c r="B10" s="109" t="s">
        <v>99</v>
      </c>
      <c r="C10" s="78" t="s">
        <v>73</v>
      </c>
      <c r="D10" s="89"/>
      <c r="E10" s="110">
        <v>13.9</v>
      </c>
      <c r="F10" s="221">
        <f t="shared" si="0"/>
        <v>74</v>
      </c>
      <c r="G10" s="169" t="str">
        <f t="shared" si="1"/>
        <v>G3</v>
      </c>
      <c r="H10" s="110"/>
      <c r="I10" s="221">
        <f t="shared" si="2"/>
        <v>0</v>
      </c>
      <c r="J10" s="169">
        <f t="shared" si="3"/>
        <v>0</v>
      </c>
      <c r="K10" s="86">
        <v>0.0021527777777777778</v>
      </c>
      <c r="L10" s="221">
        <f t="shared" si="4"/>
        <v>57</v>
      </c>
      <c r="M10" s="169">
        <f t="shared" si="5"/>
        <v>0</v>
      </c>
      <c r="N10" s="111">
        <v>4</v>
      </c>
      <c r="O10" s="210">
        <f t="shared" si="6"/>
        <v>71</v>
      </c>
      <c r="P10" s="212" t="str">
        <f t="shared" si="7"/>
        <v>G4</v>
      </c>
      <c r="Q10" s="111"/>
      <c r="R10" s="210">
        <f t="shared" si="8"/>
        <v>0</v>
      </c>
      <c r="S10" s="212">
        <f t="shared" si="9"/>
        <v>0</v>
      </c>
      <c r="T10" s="111">
        <v>5.8</v>
      </c>
      <c r="U10" s="210">
        <f t="shared" si="10"/>
        <v>49</v>
      </c>
      <c r="V10" s="212">
        <f t="shared" si="11"/>
        <v>0</v>
      </c>
      <c r="W10" s="111"/>
      <c r="X10" s="210">
        <f t="shared" si="12"/>
        <v>0</v>
      </c>
      <c r="Y10" s="212">
        <f t="shared" si="13"/>
        <v>0</v>
      </c>
      <c r="Z10" s="100">
        <f>(LARGE((F10,I10,L10),1)+LARGE((O10,R10),1)+LARGE((U10,X10),1))</f>
        <v>194</v>
      </c>
      <c r="AA10" s="101">
        <f t="shared" si="14"/>
      </c>
      <c r="AB10" s="104">
        <f t="shared" si="15"/>
        <v>1</v>
      </c>
      <c r="AC10" s="87" t="str">
        <f t="shared" si="16"/>
        <v>4*</v>
      </c>
      <c r="AM10" s="113"/>
      <c r="AO10" s="165">
        <f t="shared" si="17"/>
        <v>0</v>
      </c>
    </row>
    <row r="11" spans="1:41" s="85" customFormat="1" ht="12.75">
      <c r="A11" s="112">
        <v>134</v>
      </c>
      <c r="B11" s="109" t="s">
        <v>230</v>
      </c>
      <c r="C11" s="78" t="s">
        <v>73</v>
      </c>
      <c r="D11" s="89"/>
      <c r="E11" s="110"/>
      <c r="F11" s="221">
        <f t="shared" si="0"/>
        <v>0</v>
      </c>
      <c r="G11" s="169">
        <f t="shared" si="1"/>
        <v>0</v>
      </c>
      <c r="H11" s="110"/>
      <c r="I11" s="221">
        <f t="shared" si="2"/>
        <v>0</v>
      </c>
      <c r="J11" s="169">
        <f t="shared" si="3"/>
        <v>0</v>
      </c>
      <c r="K11" s="86">
        <v>0.003101851851851852</v>
      </c>
      <c r="L11" s="221">
        <f t="shared" si="4"/>
        <v>16</v>
      </c>
      <c r="M11" s="169">
        <f t="shared" si="5"/>
        <v>0</v>
      </c>
      <c r="N11" s="111"/>
      <c r="O11" s="210">
        <f t="shared" si="6"/>
        <v>0</v>
      </c>
      <c r="P11" s="212">
        <f t="shared" si="7"/>
        <v>0</v>
      </c>
      <c r="Q11" s="111"/>
      <c r="R11" s="210">
        <f t="shared" si="8"/>
        <v>0</v>
      </c>
      <c r="S11" s="212">
        <f t="shared" si="9"/>
        <v>0</v>
      </c>
      <c r="T11" s="111"/>
      <c r="U11" s="210">
        <f t="shared" si="10"/>
        <v>0</v>
      </c>
      <c r="V11" s="212">
        <f t="shared" si="11"/>
        <v>0</v>
      </c>
      <c r="W11" s="111"/>
      <c r="X11" s="210">
        <f t="shared" si="12"/>
        <v>0</v>
      </c>
      <c r="Y11" s="212">
        <f t="shared" si="13"/>
        <v>0</v>
      </c>
      <c r="Z11" s="100">
        <f>(LARGE((F11,I11,L11),1)+LARGE((O11,R11),1)+LARGE((U11,X11),1))</f>
        <v>16</v>
      </c>
      <c r="AA11" s="101">
        <f t="shared" si="14"/>
      </c>
      <c r="AB11" s="104">
        <f t="shared" si="15"/>
        <v>7</v>
      </c>
      <c r="AC11" s="87" t="e">
        <f t="shared" si="16"/>
        <v>#N/A</v>
      </c>
      <c r="AM11" s="113"/>
      <c r="AO11" s="165">
        <f t="shared" si="17"/>
        <v>0</v>
      </c>
    </row>
    <row r="12" spans="1:41" s="85" customFormat="1" ht="12.75">
      <c r="A12" s="112">
        <v>131</v>
      </c>
      <c r="B12" s="109" t="s">
        <v>231</v>
      </c>
      <c r="C12" s="78" t="s">
        <v>73</v>
      </c>
      <c r="D12" s="89"/>
      <c r="E12" s="110">
        <v>14.8</v>
      </c>
      <c r="F12" s="221">
        <f t="shared" si="0"/>
        <v>57</v>
      </c>
      <c r="G12" s="169">
        <f t="shared" si="1"/>
        <v>0</v>
      </c>
      <c r="H12" s="110"/>
      <c r="I12" s="221">
        <f t="shared" si="2"/>
        <v>0</v>
      </c>
      <c r="J12" s="169">
        <f t="shared" si="3"/>
        <v>0</v>
      </c>
      <c r="K12" s="86">
        <v>0.0024652777777777776</v>
      </c>
      <c r="L12" s="221">
        <f t="shared" si="4"/>
        <v>43</v>
      </c>
      <c r="M12" s="169">
        <f t="shared" si="5"/>
        <v>0</v>
      </c>
      <c r="N12" s="111">
        <v>3.37</v>
      </c>
      <c r="O12" s="210">
        <f t="shared" si="6"/>
        <v>50</v>
      </c>
      <c r="P12" s="212">
        <f t="shared" si="7"/>
        <v>0</v>
      </c>
      <c r="Q12" s="111"/>
      <c r="R12" s="210">
        <f t="shared" si="8"/>
        <v>0</v>
      </c>
      <c r="S12" s="212">
        <f t="shared" si="9"/>
        <v>0</v>
      </c>
      <c r="T12" s="111">
        <v>5.66</v>
      </c>
      <c r="U12" s="210">
        <f t="shared" si="10"/>
        <v>47</v>
      </c>
      <c r="V12" s="212">
        <f t="shared" si="11"/>
        <v>0</v>
      </c>
      <c r="W12" s="111"/>
      <c r="X12" s="210">
        <f t="shared" si="12"/>
        <v>0</v>
      </c>
      <c r="Y12" s="212">
        <f t="shared" si="13"/>
        <v>0</v>
      </c>
      <c r="Z12" s="100">
        <f>(LARGE((F12,I12,L12),1)+LARGE((O12,R12),1)+LARGE((U12,X12),1))</f>
        <v>154</v>
      </c>
      <c r="AA12" s="101">
        <f t="shared" si="14"/>
      </c>
      <c r="AB12" s="104">
        <f t="shared" si="15"/>
        <v>3</v>
      </c>
      <c r="AC12" s="87" t="str">
        <f t="shared" si="16"/>
        <v>3*</v>
      </c>
      <c r="AM12" s="113"/>
      <c r="AO12" s="165">
        <f t="shared" si="17"/>
        <v>0</v>
      </c>
    </row>
    <row r="13" spans="1:41" s="85" customFormat="1" ht="12.75">
      <c r="A13" s="90">
        <v>81</v>
      </c>
      <c r="B13" s="109" t="s">
        <v>232</v>
      </c>
      <c r="C13" s="78" t="s">
        <v>73</v>
      </c>
      <c r="D13" s="89"/>
      <c r="E13" s="110">
        <v>15</v>
      </c>
      <c r="F13" s="221">
        <f t="shared" si="0"/>
        <v>53</v>
      </c>
      <c r="G13" s="169">
        <f t="shared" si="1"/>
        <v>0</v>
      </c>
      <c r="H13" s="110"/>
      <c r="I13" s="221">
        <f t="shared" si="2"/>
        <v>0</v>
      </c>
      <c r="J13" s="169">
        <f t="shared" si="3"/>
        <v>0</v>
      </c>
      <c r="K13" s="86">
        <v>0.002314814814814815</v>
      </c>
      <c r="L13" s="221">
        <f t="shared" si="4"/>
        <v>50</v>
      </c>
      <c r="M13" s="169">
        <f t="shared" si="5"/>
        <v>0</v>
      </c>
      <c r="N13" s="111">
        <v>3.42</v>
      </c>
      <c r="O13" s="210">
        <f t="shared" si="6"/>
        <v>52</v>
      </c>
      <c r="P13" s="212">
        <f t="shared" si="7"/>
        <v>0</v>
      </c>
      <c r="Q13" s="111"/>
      <c r="R13" s="210">
        <f t="shared" si="8"/>
        <v>0</v>
      </c>
      <c r="S13" s="212">
        <f t="shared" si="9"/>
        <v>0</v>
      </c>
      <c r="T13" s="111">
        <v>4</v>
      </c>
      <c r="U13" s="210">
        <f t="shared" si="10"/>
        <v>31</v>
      </c>
      <c r="V13" s="212">
        <f t="shared" si="11"/>
        <v>0</v>
      </c>
      <c r="W13" s="111"/>
      <c r="X13" s="210">
        <f t="shared" si="12"/>
        <v>0</v>
      </c>
      <c r="Y13" s="212">
        <f t="shared" si="13"/>
        <v>0</v>
      </c>
      <c r="Z13" s="100">
        <f>(LARGE((F13,I13,L13),1)+LARGE((O13,R13),1)+LARGE((U13,X13),1))</f>
        <v>136</v>
      </c>
      <c r="AA13" s="101">
        <f t="shared" si="14"/>
      </c>
      <c r="AB13" s="104">
        <f t="shared" si="15"/>
        <v>5</v>
      </c>
      <c r="AC13" s="87" t="str">
        <f t="shared" si="16"/>
        <v>3*</v>
      </c>
      <c r="AM13" s="113"/>
      <c r="AO13" s="165">
        <f t="shared" si="17"/>
        <v>0</v>
      </c>
    </row>
    <row r="14" spans="1:41" s="85" customFormat="1" ht="12.75">
      <c r="A14" s="90"/>
      <c r="B14" s="109"/>
      <c r="C14" s="78"/>
      <c r="D14" s="89"/>
      <c r="E14" s="110"/>
      <c r="F14" s="221">
        <f t="shared" si="0"/>
        <v>0</v>
      </c>
      <c r="G14" s="169">
        <f t="shared" si="1"/>
        <v>0</v>
      </c>
      <c r="H14" s="110"/>
      <c r="I14" s="221">
        <f t="shared" si="2"/>
        <v>0</v>
      </c>
      <c r="J14" s="169">
        <f t="shared" si="3"/>
        <v>0</v>
      </c>
      <c r="K14" s="86"/>
      <c r="L14" s="221">
        <f t="shared" si="4"/>
        <v>0</v>
      </c>
      <c r="M14" s="169">
        <f t="shared" si="5"/>
        <v>0</v>
      </c>
      <c r="N14" s="111"/>
      <c r="O14" s="210">
        <f t="shared" si="6"/>
        <v>0</v>
      </c>
      <c r="P14" s="212">
        <f t="shared" si="7"/>
        <v>0</v>
      </c>
      <c r="Q14" s="111"/>
      <c r="R14" s="210">
        <f t="shared" si="8"/>
        <v>0</v>
      </c>
      <c r="S14" s="212">
        <f t="shared" si="9"/>
        <v>0</v>
      </c>
      <c r="T14" s="111"/>
      <c r="U14" s="210">
        <f t="shared" si="10"/>
        <v>0</v>
      </c>
      <c r="V14" s="212">
        <f t="shared" si="11"/>
        <v>0</v>
      </c>
      <c r="W14" s="111"/>
      <c r="X14" s="210">
        <f t="shared" si="12"/>
        <v>0</v>
      </c>
      <c r="Y14" s="212">
        <f t="shared" si="13"/>
        <v>0</v>
      </c>
      <c r="Z14" s="100">
        <f>(LARGE((F14,I14,L14),1)+LARGE((O14,R14),1)+LARGE((U14,X14),1))</f>
        <v>0</v>
      </c>
      <c r="AA14" s="101">
        <f t="shared" si="14"/>
      </c>
      <c r="AB14" s="104">
        <f t="shared" si="15"/>
      </c>
      <c r="AC14" s="87">
        <f t="shared" si="16"/>
      </c>
      <c r="AM14" s="113"/>
      <c r="AO14" s="165">
        <f t="shared" si="17"/>
        <v>0</v>
      </c>
    </row>
    <row r="15" spans="1:41" s="85" customFormat="1" ht="12.75">
      <c r="A15" s="90"/>
      <c r="B15" s="109"/>
      <c r="C15" s="78"/>
      <c r="D15" s="89"/>
      <c r="E15" s="110"/>
      <c r="F15" s="221">
        <f t="shared" si="0"/>
        <v>0</v>
      </c>
      <c r="G15" s="169">
        <f t="shared" si="1"/>
        <v>0</v>
      </c>
      <c r="H15" s="110"/>
      <c r="I15" s="221">
        <f t="shared" si="2"/>
        <v>0</v>
      </c>
      <c r="J15" s="169">
        <f t="shared" si="3"/>
        <v>0</v>
      </c>
      <c r="K15" s="86"/>
      <c r="L15" s="221">
        <f t="shared" si="4"/>
        <v>0</v>
      </c>
      <c r="M15" s="169">
        <f t="shared" si="5"/>
        <v>0</v>
      </c>
      <c r="N15" s="111"/>
      <c r="O15" s="210">
        <f t="shared" si="6"/>
        <v>0</v>
      </c>
      <c r="P15" s="212">
        <f t="shared" si="7"/>
        <v>0</v>
      </c>
      <c r="Q15" s="111"/>
      <c r="R15" s="210">
        <f t="shared" si="8"/>
        <v>0</v>
      </c>
      <c r="S15" s="212">
        <f t="shared" si="9"/>
        <v>0</v>
      </c>
      <c r="T15" s="111"/>
      <c r="U15" s="210">
        <f t="shared" si="10"/>
        <v>0</v>
      </c>
      <c r="V15" s="212">
        <f t="shared" si="11"/>
        <v>0</v>
      </c>
      <c r="W15" s="111"/>
      <c r="X15" s="210">
        <f t="shared" si="12"/>
        <v>0</v>
      </c>
      <c r="Y15" s="212">
        <f t="shared" si="13"/>
        <v>0</v>
      </c>
      <c r="Z15" s="100">
        <f>(LARGE((F15,I15,L15),1)+LARGE((O15,R15),1)+LARGE((U15,X15),1))</f>
        <v>0</v>
      </c>
      <c r="AA15" s="101">
        <f t="shared" si="14"/>
      </c>
      <c r="AB15" s="104">
        <f t="shared" si="15"/>
      </c>
      <c r="AC15" s="87">
        <f t="shared" si="16"/>
      </c>
      <c r="AM15" s="113"/>
      <c r="AO15" s="165">
        <f t="shared" si="17"/>
        <v>0</v>
      </c>
    </row>
    <row r="16" spans="1:41" s="85" customFormat="1" ht="12.75">
      <c r="A16" s="90"/>
      <c r="B16" s="109"/>
      <c r="C16" s="78"/>
      <c r="D16" s="89"/>
      <c r="E16" s="110"/>
      <c r="F16" s="221">
        <f t="shared" si="0"/>
        <v>0</v>
      </c>
      <c r="G16" s="169">
        <f t="shared" si="1"/>
        <v>0</v>
      </c>
      <c r="H16" s="110"/>
      <c r="I16" s="221">
        <f t="shared" si="2"/>
        <v>0</v>
      </c>
      <c r="J16" s="169">
        <f t="shared" si="3"/>
        <v>0</v>
      </c>
      <c r="K16" s="86"/>
      <c r="L16" s="221">
        <f t="shared" si="4"/>
        <v>0</v>
      </c>
      <c r="M16" s="169">
        <f t="shared" si="5"/>
        <v>0</v>
      </c>
      <c r="N16" s="111"/>
      <c r="O16" s="210">
        <f t="shared" si="6"/>
        <v>0</v>
      </c>
      <c r="P16" s="212">
        <f t="shared" si="7"/>
        <v>0</v>
      </c>
      <c r="Q16" s="111"/>
      <c r="R16" s="210">
        <f t="shared" si="8"/>
        <v>0</v>
      </c>
      <c r="S16" s="212">
        <f t="shared" si="9"/>
        <v>0</v>
      </c>
      <c r="T16" s="111"/>
      <c r="U16" s="210">
        <f t="shared" si="10"/>
        <v>0</v>
      </c>
      <c r="V16" s="212">
        <f t="shared" si="11"/>
        <v>0</v>
      </c>
      <c r="W16" s="111"/>
      <c r="X16" s="210">
        <f t="shared" si="12"/>
        <v>0</v>
      </c>
      <c r="Y16" s="212">
        <f t="shared" si="13"/>
        <v>0</v>
      </c>
      <c r="Z16" s="100">
        <f>(LARGE((F16,I16,L16),1)+LARGE((O16,R16),1)+LARGE((U16,X16),1))</f>
        <v>0</v>
      </c>
      <c r="AA16" s="101">
        <f t="shared" si="14"/>
      </c>
      <c r="AB16" s="104">
        <f t="shared" si="15"/>
      </c>
      <c r="AC16" s="87">
        <f t="shared" si="16"/>
      </c>
      <c r="AM16" s="113"/>
      <c r="AO16" s="165">
        <f t="shared" si="17"/>
        <v>0</v>
      </c>
    </row>
    <row r="17" spans="1:41" s="85" customFormat="1" ht="12.75">
      <c r="A17" s="112">
        <v>94</v>
      </c>
      <c r="B17" s="109" t="s">
        <v>97</v>
      </c>
      <c r="C17" s="78" t="s">
        <v>73</v>
      </c>
      <c r="D17" s="89"/>
      <c r="E17" s="110"/>
      <c r="F17" s="221">
        <f t="shared" si="0"/>
        <v>0</v>
      </c>
      <c r="G17" s="169">
        <f t="shared" si="1"/>
        <v>0</v>
      </c>
      <c r="H17" s="110"/>
      <c r="I17" s="221">
        <f t="shared" si="2"/>
        <v>0</v>
      </c>
      <c r="J17" s="169">
        <f t="shared" si="3"/>
        <v>0</v>
      </c>
      <c r="K17" s="86"/>
      <c r="L17" s="221">
        <f t="shared" si="4"/>
        <v>0</v>
      </c>
      <c r="M17" s="169">
        <f t="shared" si="5"/>
        <v>0</v>
      </c>
      <c r="N17" s="111"/>
      <c r="O17" s="210">
        <f t="shared" si="6"/>
        <v>0</v>
      </c>
      <c r="P17" s="212">
        <f t="shared" si="7"/>
        <v>0</v>
      </c>
      <c r="Q17" s="111"/>
      <c r="R17" s="210">
        <f t="shared" si="8"/>
        <v>0</v>
      </c>
      <c r="S17" s="212">
        <f t="shared" si="9"/>
        <v>0</v>
      </c>
      <c r="T17" s="111"/>
      <c r="U17" s="210">
        <f t="shared" si="10"/>
        <v>0</v>
      </c>
      <c r="V17" s="212">
        <f t="shared" si="11"/>
        <v>0</v>
      </c>
      <c r="W17" s="111"/>
      <c r="X17" s="210">
        <f t="shared" si="12"/>
        <v>0</v>
      </c>
      <c r="Y17" s="212">
        <f t="shared" si="13"/>
        <v>0</v>
      </c>
      <c r="Z17" s="100">
        <f>(LARGE((F17,I17,L17),1)+LARGE((O17,R17),1)+LARGE((U17,X17),1))</f>
        <v>0</v>
      </c>
      <c r="AA17" s="101">
        <f t="shared" si="14"/>
      </c>
      <c r="AB17" s="104">
        <f t="shared" si="15"/>
      </c>
      <c r="AC17" s="87">
        <f t="shared" si="16"/>
      </c>
      <c r="AM17" s="113"/>
      <c r="AO17" s="165">
        <f t="shared" si="17"/>
        <v>0</v>
      </c>
    </row>
    <row r="18" spans="1:41" s="85" customFormat="1" ht="12.75">
      <c r="A18" s="90">
        <v>132</v>
      </c>
      <c r="B18" s="109" t="s">
        <v>243</v>
      </c>
      <c r="C18" s="78" t="s">
        <v>73</v>
      </c>
      <c r="D18" s="89"/>
      <c r="E18" s="110"/>
      <c r="F18" s="221">
        <f t="shared" si="0"/>
        <v>0</v>
      </c>
      <c r="G18" s="169">
        <f t="shared" si="1"/>
        <v>0</v>
      </c>
      <c r="H18" s="110"/>
      <c r="I18" s="221">
        <f t="shared" si="2"/>
        <v>0</v>
      </c>
      <c r="J18" s="169">
        <f t="shared" si="3"/>
        <v>0</v>
      </c>
      <c r="K18" s="86"/>
      <c r="L18" s="221">
        <f t="shared" si="4"/>
        <v>0</v>
      </c>
      <c r="M18" s="169">
        <f t="shared" si="5"/>
        <v>0</v>
      </c>
      <c r="N18" s="111"/>
      <c r="O18" s="210">
        <f t="shared" si="6"/>
        <v>0</v>
      </c>
      <c r="P18" s="212">
        <f t="shared" si="7"/>
        <v>0</v>
      </c>
      <c r="Q18" s="111"/>
      <c r="R18" s="210">
        <f t="shared" si="8"/>
        <v>0</v>
      </c>
      <c r="S18" s="212">
        <f t="shared" si="9"/>
        <v>0</v>
      </c>
      <c r="T18" s="111"/>
      <c r="U18" s="210">
        <f t="shared" si="10"/>
        <v>0</v>
      </c>
      <c r="V18" s="212">
        <f t="shared" si="11"/>
        <v>0</v>
      </c>
      <c r="W18" s="111"/>
      <c r="X18" s="210">
        <f t="shared" si="12"/>
        <v>0</v>
      </c>
      <c r="Y18" s="212">
        <f t="shared" si="13"/>
        <v>0</v>
      </c>
      <c r="Z18" s="100">
        <f>(LARGE((F18,I18,L18),1)+LARGE((O18,R18),1)+LARGE((U18,X18),1))</f>
        <v>0</v>
      </c>
      <c r="AA18" s="101">
        <f t="shared" si="14"/>
      </c>
      <c r="AB18" s="104">
        <f t="shared" si="15"/>
      </c>
      <c r="AC18" s="87">
        <f t="shared" si="16"/>
      </c>
      <c r="AM18" s="113"/>
      <c r="AO18" s="165">
        <f t="shared" si="17"/>
        <v>0</v>
      </c>
    </row>
    <row r="19" spans="1:41" s="85" customFormat="1" ht="12.75">
      <c r="A19" s="90">
        <v>98</v>
      </c>
      <c r="B19" s="109" t="s">
        <v>244</v>
      </c>
      <c r="C19" s="78" t="s">
        <v>73</v>
      </c>
      <c r="D19" s="89"/>
      <c r="E19" s="110"/>
      <c r="F19" s="221">
        <f t="shared" si="0"/>
        <v>0</v>
      </c>
      <c r="G19" s="169">
        <f t="shared" si="1"/>
        <v>0</v>
      </c>
      <c r="H19" s="110"/>
      <c r="I19" s="221">
        <f t="shared" si="2"/>
        <v>0</v>
      </c>
      <c r="J19" s="169">
        <f t="shared" si="3"/>
        <v>0</v>
      </c>
      <c r="K19" s="86"/>
      <c r="L19" s="221">
        <f t="shared" si="4"/>
        <v>0</v>
      </c>
      <c r="M19" s="169">
        <f t="shared" si="5"/>
        <v>0</v>
      </c>
      <c r="N19" s="111"/>
      <c r="O19" s="210">
        <f t="shared" si="6"/>
        <v>0</v>
      </c>
      <c r="P19" s="212">
        <f t="shared" si="7"/>
        <v>0</v>
      </c>
      <c r="Q19" s="111"/>
      <c r="R19" s="210">
        <f t="shared" si="8"/>
        <v>0</v>
      </c>
      <c r="S19" s="212">
        <f t="shared" si="9"/>
        <v>0</v>
      </c>
      <c r="T19" s="111"/>
      <c r="U19" s="210">
        <f t="shared" si="10"/>
        <v>0</v>
      </c>
      <c r="V19" s="212">
        <f t="shared" si="11"/>
        <v>0</v>
      </c>
      <c r="W19" s="111"/>
      <c r="X19" s="210">
        <f t="shared" si="12"/>
        <v>0</v>
      </c>
      <c r="Y19" s="212">
        <f t="shared" si="13"/>
        <v>0</v>
      </c>
      <c r="Z19" s="100">
        <f>(LARGE((F19,I19,L19),1)+LARGE((O19,R19),1)+LARGE((U19,X19),1))</f>
        <v>0</v>
      </c>
      <c r="AA19" s="101">
        <f t="shared" si="14"/>
      </c>
      <c r="AB19" s="104">
        <f t="shared" si="15"/>
      </c>
      <c r="AC19" s="87">
        <f t="shared" si="16"/>
      </c>
      <c r="AO19" s="165">
        <f t="shared" si="17"/>
        <v>0</v>
      </c>
    </row>
    <row r="20" spans="1:41" s="85" customFormat="1" ht="12.75">
      <c r="A20" s="90">
        <v>97</v>
      </c>
      <c r="B20" s="109" t="s">
        <v>245</v>
      </c>
      <c r="C20" s="78" t="s">
        <v>73</v>
      </c>
      <c r="D20" s="89"/>
      <c r="E20" s="110"/>
      <c r="F20" s="221">
        <f t="shared" si="0"/>
        <v>0</v>
      </c>
      <c r="G20" s="169">
        <f t="shared" si="1"/>
        <v>0</v>
      </c>
      <c r="H20" s="111"/>
      <c r="I20" s="221">
        <f t="shared" si="2"/>
        <v>0</v>
      </c>
      <c r="J20" s="169">
        <f t="shared" si="3"/>
        <v>0</v>
      </c>
      <c r="K20" s="86"/>
      <c r="L20" s="221">
        <f t="shared" si="4"/>
        <v>0</v>
      </c>
      <c r="M20" s="169">
        <f t="shared" si="5"/>
        <v>0</v>
      </c>
      <c r="N20" s="111"/>
      <c r="O20" s="210">
        <f t="shared" si="6"/>
        <v>0</v>
      </c>
      <c r="P20" s="212">
        <f t="shared" si="7"/>
        <v>0</v>
      </c>
      <c r="Q20" s="111"/>
      <c r="R20" s="210">
        <f t="shared" si="8"/>
        <v>0</v>
      </c>
      <c r="S20" s="212">
        <f t="shared" si="9"/>
        <v>0</v>
      </c>
      <c r="T20" s="111"/>
      <c r="U20" s="210">
        <f t="shared" si="10"/>
        <v>0</v>
      </c>
      <c r="V20" s="212">
        <f t="shared" si="11"/>
        <v>0</v>
      </c>
      <c r="W20" s="111"/>
      <c r="X20" s="210">
        <f t="shared" si="12"/>
        <v>0</v>
      </c>
      <c r="Y20" s="212">
        <f t="shared" si="13"/>
        <v>0</v>
      </c>
      <c r="Z20" s="100">
        <f>(LARGE((F20,I20,L20),1)+LARGE((O20,R20),1)+LARGE((U20,X20),1))</f>
        <v>0</v>
      </c>
      <c r="AA20" s="101">
        <f t="shared" si="14"/>
      </c>
      <c r="AB20" s="104">
        <f t="shared" si="15"/>
      </c>
      <c r="AC20" s="87">
        <f t="shared" si="16"/>
      </c>
      <c r="AO20" s="165">
        <f t="shared" si="17"/>
        <v>0</v>
      </c>
    </row>
    <row r="21" spans="1:41" s="85" customFormat="1" ht="12.75">
      <c r="A21" s="112"/>
      <c r="B21" s="109"/>
      <c r="C21" s="78"/>
      <c r="D21" s="89"/>
      <c r="E21" s="110"/>
      <c r="F21" s="221">
        <f t="shared" si="0"/>
        <v>0</v>
      </c>
      <c r="G21" s="169">
        <f t="shared" si="1"/>
        <v>0</v>
      </c>
      <c r="H21" s="111"/>
      <c r="I21" s="221">
        <f t="shared" si="2"/>
        <v>0</v>
      </c>
      <c r="J21" s="169">
        <f t="shared" si="3"/>
        <v>0</v>
      </c>
      <c r="K21" s="86"/>
      <c r="L21" s="221">
        <f t="shared" si="4"/>
        <v>0</v>
      </c>
      <c r="M21" s="169">
        <f t="shared" si="5"/>
        <v>0</v>
      </c>
      <c r="N21" s="111"/>
      <c r="O21" s="210">
        <f t="shared" si="6"/>
        <v>0</v>
      </c>
      <c r="P21" s="212">
        <f t="shared" si="7"/>
        <v>0</v>
      </c>
      <c r="Q21" s="111"/>
      <c r="R21" s="210">
        <f t="shared" si="8"/>
        <v>0</v>
      </c>
      <c r="S21" s="212">
        <f t="shared" si="9"/>
        <v>0</v>
      </c>
      <c r="T21" s="111"/>
      <c r="U21" s="210">
        <f t="shared" si="10"/>
        <v>0</v>
      </c>
      <c r="V21" s="212">
        <f t="shared" si="11"/>
        <v>0</v>
      </c>
      <c r="W21" s="111"/>
      <c r="X21" s="210">
        <f t="shared" si="12"/>
        <v>0</v>
      </c>
      <c r="Y21" s="212">
        <f t="shared" si="13"/>
        <v>0</v>
      </c>
      <c r="Z21" s="100">
        <f>(LARGE((F21,I21,L21),1)+LARGE((O21,R21),1)+LARGE((U21,X21),1))</f>
        <v>0</v>
      </c>
      <c r="AA21" s="101">
        <f t="shared" si="14"/>
      </c>
      <c r="AB21" s="104">
        <f t="shared" si="15"/>
      </c>
      <c r="AC21" s="87">
        <f t="shared" si="16"/>
      </c>
      <c r="AO21" s="165">
        <f t="shared" si="17"/>
        <v>0</v>
      </c>
    </row>
    <row r="22" spans="1:41" s="85" customFormat="1" ht="12.75">
      <c r="A22" s="77"/>
      <c r="B22" s="78"/>
      <c r="C22" s="78"/>
      <c r="D22" s="89"/>
      <c r="E22" s="82"/>
      <c r="F22" s="221">
        <f t="shared" si="0"/>
        <v>0</v>
      </c>
      <c r="G22" s="169">
        <f t="shared" si="1"/>
        <v>0</v>
      </c>
      <c r="H22" s="111"/>
      <c r="I22" s="221">
        <f t="shared" si="2"/>
        <v>0</v>
      </c>
      <c r="J22" s="169">
        <f t="shared" si="3"/>
        <v>0</v>
      </c>
      <c r="K22" s="86"/>
      <c r="L22" s="221">
        <f t="shared" si="4"/>
        <v>0</v>
      </c>
      <c r="M22" s="169">
        <f t="shared" si="5"/>
        <v>0</v>
      </c>
      <c r="N22" s="111"/>
      <c r="O22" s="210">
        <f t="shared" si="6"/>
        <v>0</v>
      </c>
      <c r="P22" s="212">
        <f t="shared" si="7"/>
        <v>0</v>
      </c>
      <c r="Q22" s="111"/>
      <c r="R22" s="210">
        <f t="shared" si="8"/>
        <v>0</v>
      </c>
      <c r="S22" s="212">
        <f t="shared" si="9"/>
        <v>0</v>
      </c>
      <c r="T22" s="111"/>
      <c r="U22" s="210">
        <f t="shared" si="10"/>
        <v>0</v>
      </c>
      <c r="V22" s="212">
        <f t="shared" si="11"/>
        <v>0</v>
      </c>
      <c r="W22" s="111"/>
      <c r="X22" s="210">
        <f t="shared" si="12"/>
        <v>0</v>
      </c>
      <c r="Y22" s="212">
        <f t="shared" si="13"/>
        <v>0</v>
      </c>
      <c r="Z22" s="100">
        <f>(LARGE((F22,I22,L22),1)+LARGE((O22,R22),1)+LARGE((U22,X22),1))</f>
        <v>0</v>
      </c>
      <c r="AA22" s="101">
        <f t="shared" si="14"/>
      </c>
      <c r="AB22" s="104">
        <f t="shared" si="15"/>
      </c>
      <c r="AC22" s="87">
        <f t="shared" si="16"/>
      </c>
      <c r="AO22" s="165">
        <f t="shared" si="17"/>
        <v>0</v>
      </c>
    </row>
    <row r="23" spans="1:41" s="85" customFormat="1" ht="12.75">
      <c r="A23" s="77"/>
      <c r="B23" s="78"/>
      <c r="C23" s="78"/>
      <c r="D23" s="89"/>
      <c r="E23" s="82"/>
      <c r="F23" s="221">
        <f t="shared" si="0"/>
        <v>0</v>
      </c>
      <c r="G23" s="169">
        <f t="shared" si="1"/>
        <v>0</v>
      </c>
      <c r="H23" s="111"/>
      <c r="I23" s="221">
        <f t="shared" si="2"/>
        <v>0</v>
      </c>
      <c r="J23" s="169">
        <f t="shared" si="3"/>
        <v>0</v>
      </c>
      <c r="K23" s="86"/>
      <c r="L23" s="221">
        <f t="shared" si="4"/>
        <v>0</v>
      </c>
      <c r="M23" s="169">
        <f t="shared" si="5"/>
        <v>0</v>
      </c>
      <c r="N23" s="111"/>
      <c r="O23" s="210">
        <f t="shared" si="6"/>
        <v>0</v>
      </c>
      <c r="P23" s="212">
        <f t="shared" si="7"/>
        <v>0</v>
      </c>
      <c r="Q23" s="111"/>
      <c r="R23" s="210">
        <f t="shared" si="8"/>
        <v>0</v>
      </c>
      <c r="S23" s="212">
        <f t="shared" si="9"/>
        <v>0</v>
      </c>
      <c r="T23" s="111"/>
      <c r="U23" s="210">
        <f t="shared" si="10"/>
        <v>0</v>
      </c>
      <c r="V23" s="212">
        <f t="shared" si="11"/>
        <v>0</v>
      </c>
      <c r="W23" s="111"/>
      <c r="X23" s="210">
        <f t="shared" si="12"/>
        <v>0</v>
      </c>
      <c r="Y23" s="212">
        <f t="shared" si="13"/>
        <v>0</v>
      </c>
      <c r="Z23" s="100">
        <f>(LARGE((F23,I23,L23),1)+LARGE((O23,R23),1)+LARGE((U23,X23),1))</f>
        <v>0</v>
      </c>
      <c r="AA23" s="101">
        <f t="shared" si="14"/>
      </c>
      <c r="AB23" s="104">
        <f t="shared" si="15"/>
      </c>
      <c r="AC23" s="87">
        <f t="shared" si="16"/>
      </c>
      <c r="AO23" s="165">
        <f t="shared" si="17"/>
        <v>0</v>
      </c>
    </row>
    <row r="24" spans="1:41" s="85" customFormat="1" ht="12.75">
      <c r="A24" s="77"/>
      <c r="B24" s="78"/>
      <c r="C24" s="78"/>
      <c r="D24" s="89"/>
      <c r="E24" s="82"/>
      <c r="F24" s="221">
        <f t="shared" si="0"/>
        <v>0</v>
      </c>
      <c r="G24" s="169">
        <f t="shared" si="1"/>
        <v>0</v>
      </c>
      <c r="H24" s="111"/>
      <c r="I24" s="221">
        <f t="shared" si="2"/>
        <v>0</v>
      </c>
      <c r="J24" s="169">
        <f t="shared" si="3"/>
        <v>0</v>
      </c>
      <c r="K24" s="86"/>
      <c r="L24" s="221">
        <f t="shared" si="4"/>
        <v>0</v>
      </c>
      <c r="M24" s="169">
        <f t="shared" si="5"/>
        <v>0</v>
      </c>
      <c r="N24" s="111"/>
      <c r="O24" s="210">
        <f t="shared" si="6"/>
        <v>0</v>
      </c>
      <c r="P24" s="212">
        <f t="shared" si="7"/>
        <v>0</v>
      </c>
      <c r="Q24" s="111"/>
      <c r="R24" s="210">
        <f t="shared" si="8"/>
        <v>0</v>
      </c>
      <c r="S24" s="212">
        <f t="shared" si="9"/>
        <v>0</v>
      </c>
      <c r="T24" s="111"/>
      <c r="U24" s="210">
        <f t="shared" si="10"/>
        <v>0</v>
      </c>
      <c r="V24" s="212">
        <f t="shared" si="11"/>
        <v>0</v>
      </c>
      <c r="W24" s="111"/>
      <c r="X24" s="210">
        <f t="shared" si="12"/>
        <v>0</v>
      </c>
      <c r="Y24" s="212">
        <f t="shared" si="13"/>
        <v>0</v>
      </c>
      <c r="Z24" s="100">
        <f>(LARGE((F24,I24,L24),1)+LARGE((O24,R24),1)+LARGE((U24,X24),1))</f>
        <v>0</v>
      </c>
      <c r="AA24" s="101">
        <f t="shared" si="14"/>
      </c>
      <c r="AB24" s="104">
        <f t="shared" si="15"/>
      </c>
      <c r="AC24" s="87">
        <f t="shared" si="16"/>
      </c>
      <c r="AO24" s="165">
        <f t="shared" si="17"/>
        <v>0</v>
      </c>
    </row>
    <row r="25" spans="1:41" s="85" customFormat="1" ht="12.75">
      <c r="A25" s="77"/>
      <c r="B25" s="78"/>
      <c r="C25" s="78"/>
      <c r="D25" s="89"/>
      <c r="E25" s="82"/>
      <c r="F25" s="221">
        <f t="shared" si="0"/>
        <v>0</v>
      </c>
      <c r="G25" s="169">
        <f t="shared" si="1"/>
        <v>0</v>
      </c>
      <c r="H25" s="114"/>
      <c r="I25" s="221">
        <f t="shared" si="2"/>
        <v>0</v>
      </c>
      <c r="J25" s="169">
        <f t="shared" si="3"/>
        <v>0</v>
      </c>
      <c r="K25" s="86"/>
      <c r="L25" s="221">
        <f t="shared" si="4"/>
        <v>0</v>
      </c>
      <c r="M25" s="169">
        <f t="shared" si="5"/>
        <v>0</v>
      </c>
      <c r="N25" s="82"/>
      <c r="O25" s="210">
        <f t="shared" si="6"/>
        <v>0</v>
      </c>
      <c r="P25" s="212">
        <f t="shared" si="7"/>
        <v>0</v>
      </c>
      <c r="Q25" s="114"/>
      <c r="R25" s="210">
        <f t="shared" si="8"/>
        <v>0</v>
      </c>
      <c r="S25" s="212">
        <f t="shared" si="9"/>
        <v>0</v>
      </c>
      <c r="T25" s="83"/>
      <c r="U25" s="210">
        <f t="shared" si="10"/>
        <v>0</v>
      </c>
      <c r="V25" s="212">
        <f t="shared" si="11"/>
        <v>0</v>
      </c>
      <c r="W25" s="83"/>
      <c r="X25" s="210">
        <f t="shared" si="12"/>
        <v>0</v>
      </c>
      <c r="Y25" s="212">
        <f t="shared" si="13"/>
        <v>0</v>
      </c>
      <c r="Z25" s="100">
        <f>(LARGE((F25,I25,L25),1)+LARGE((O25,R25),1)+LARGE((U25,X25),1))</f>
        <v>0</v>
      </c>
      <c r="AA25" s="101">
        <f t="shared" si="14"/>
      </c>
      <c r="AB25" s="104">
        <f t="shared" si="15"/>
      </c>
      <c r="AC25" s="87">
        <f t="shared" si="16"/>
      </c>
      <c r="AO25" s="165">
        <f t="shared" si="17"/>
        <v>0</v>
      </c>
    </row>
    <row r="26" spans="1:41" s="85" customFormat="1" ht="12.75">
      <c r="A26" s="77"/>
      <c r="B26" s="78"/>
      <c r="C26" s="78"/>
      <c r="D26" s="89"/>
      <c r="E26" s="82"/>
      <c r="F26" s="221">
        <f t="shared" si="0"/>
        <v>0</v>
      </c>
      <c r="G26" s="169">
        <f t="shared" si="1"/>
        <v>0</v>
      </c>
      <c r="H26" s="114"/>
      <c r="I26" s="221">
        <f t="shared" si="2"/>
        <v>0</v>
      </c>
      <c r="J26" s="169">
        <f t="shared" si="3"/>
        <v>0</v>
      </c>
      <c r="K26" s="86"/>
      <c r="L26" s="221">
        <f t="shared" si="4"/>
        <v>0</v>
      </c>
      <c r="M26" s="169">
        <f t="shared" si="5"/>
        <v>0</v>
      </c>
      <c r="N26" s="82"/>
      <c r="O26" s="210">
        <f t="shared" si="6"/>
        <v>0</v>
      </c>
      <c r="P26" s="212">
        <f t="shared" si="7"/>
        <v>0</v>
      </c>
      <c r="Q26" s="114"/>
      <c r="R26" s="210">
        <f t="shared" si="8"/>
        <v>0</v>
      </c>
      <c r="S26" s="212">
        <f t="shared" si="9"/>
        <v>0</v>
      </c>
      <c r="T26" s="83"/>
      <c r="U26" s="210">
        <f t="shared" si="10"/>
        <v>0</v>
      </c>
      <c r="V26" s="212">
        <f t="shared" si="11"/>
        <v>0</v>
      </c>
      <c r="W26" s="83"/>
      <c r="X26" s="210">
        <f t="shared" si="12"/>
        <v>0</v>
      </c>
      <c r="Y26" s="212">
        <f t="shared" si="13"/>
        <v>0</v>
      </c>
      <c r="Z26" s="100">
        <f>(LARGE((F26,I26,L26),1)+LARGE((O26,R26),1)+LARGE((U26,X26),1))</f>
        <v>0</v>
      </c>
      <c r="AA26" s="101">
        <f t="shared" si="14"/>
      </c>
      <c r="AB26" s="104">
        <f t="shared" si="15"/>
      </c>
      <c r="AC26" s="87">
        <f t="shared" si="16"/>
      </c>
      <c r="AO26" s="165">
        <f t="shared" si="17"/>
        <v>0</v>
      </c>
    </row>
    <row r="27" spans="1:41" s="85" customFormat="1" ht="12.75">
      <c r="A27" s="77"/>
      <c r="B27" s="78"/>
      <c r="C27" s="78"/>
      <c r="D27" s="89"/>
      <c r="E27" s="82"/>
      <c r="F27" s="221">
        <f t="shared" si="0"/>
        <v>0</v>
      </c>
      <c r="G27" s="169">
        <f t="shared" si="1"/>
        <v>0</v>
      </c>
      <c r="H27" s="114"/>
      <c r="I27" s="221">
        <f t="shared" si="2"/>
        <v>0</v>
      </c>
      <c r="J27" s="169">
        <f t="shared" si="3"/>
        <v>0</v>
      </c>
      <c r="K27" s="86"/>
      <c r="L27" s="221">
        <f t="shared" si="4"/>
        <v>0</v>
      </c>
      <c r="M27" s="169">
        <f t="shared" si="5"/>
        <v>0</v>
      </c>
      <c r="N27" s="82"/>
      <c r="O27" s="210">
        <f t="shared" si="6"/>
        <v>0</v>
      </c>
      <c r="P27" s="212">
        <f t="shared" si="7"/>
        <v>0</v>
      </c>
      <c r="Q27" s="114"/>
      <c r="R27" s="210">
        <f t="shared" si="8"/>
        <v>0</v>
      </c>
      <c r="S27" s="212">
        <f t="shared" si="9"/>
        <v>0</v>
      </c>
      <c r="T27" s="83"/>
      <c r="U27" s="210">
        <f t="shared" si="10"/>
        <v>0</v>
      </c>
      <c r="V27" s="212">
        <f t="shared" si="11"/>
        <v>0</v>
      </c>
      <c r="W27" s="83"/>
      <c r="X27" s="210">
        <f t="shared" si="12"/>
        <v>0</v>
      </c>
      <c r="Y27" s="212">
        <f t="shared" si="13"/>
        <v>0</v>
      </c>
      <c r="Z27" s="100">
        <f>(LARGE((F27,I27,L27),1)+LARGE((O27,R27),1)+LARGE((U27,X27),1))</f>
        <v>0</v>
      </c>
      <c r="AA27" s="101">
        <f t="shared" si="14"/>
      </c>
      <c r="AB27" s="104">
        <f t="shared" si="15"/>
      </c>
      <c r="AC27" s="87">
        <f t="shared" si="16"/>
      </c>
      <c r="AO27" s="165">
        <f t="shared" si="17"/>
        <v>0</v>
      </c>
    </row>
    <row r="28" spans="1:41" ht="12.75">
      <c r="A28" s="90"/>
      <c r="B28" s="91"/>
      <c r="C28" s="78"/>
      <c r="D28" s="89"/>
      <c r="E28" s="82"/>
      <c r="F28" s="221">
        <f t="shared" si="0"/>
        <v>0</v>
      </c>
      <c r="G28" s="169">
        <f t="shared" si="1"/>
        <v>0</v>
      </c>
      <c r="H28" s="114"/>
      <c r="I28" s="221">
        <f t="shared" si="2"/>
        <v>0</v>
      </c>
      <c r="J28" s="169">
        <f t="shared" si="3"/>
        <v>0</v>
      </c>
      <c r="K28" s="86"/>
      <c r="L28" s="221">
        <f t="shared" si="4"/>
        <v>0</v>
      </c>
      <c r="M28" s="169">
        <f t="shared" si="5"/>
        <v>0</v>
      </c>
      <c r="N28" s="82"/>
      <c r="O28" s="210">
        <f t="shared" si="6"/>
        <v>0</v>
      </c>
      <c r="P28" s="212">
        <f t="shared" si="7"/>
        <v>0</v>
      </c>
      <c r="Q28" s="114"/>
      <c r="R28" s="210">
        <f t="shared" si="8"/>
        <v>0</v>
      </c>
      <c r="S28" s="212">
        <f t="shared" si="9"/>
        <v>0</v>
      </c>
      <c r="T28" s="83"/>
      <c r="U28" s="210">
        <f t="shared" si="10"/>
        <v>0</v>
      </c>
      <c r="V28" s="212">
        <f t="shared" si="11"/>
        <v>0</v>
      </c>
      <c r="W28" s="83"/>
      <c r="X28" s="210">
        <f t="shared" si="12"/>
        <v>0</v>
      </c>
      <c r="Y28" s="212">
        <f t="shared" si="13"/>
        <v>0</v>
      </c>
      <c r="Z28" s="100">
        <f>(LARGE((F28,I28,L28),1)+LARGE((O28,R28),1)+LARGE((U28,X28),1))</f>
        <v>0</v>
      </c>
      <c r="AA28" s="101">
        <f t="shared" si="14"/>
      </c>
      <c r="AB28" s="104">
        <f t="shared" si="15"/>
      </c>
      <c r="AC28" s="87">
        <f t="shared" si="16"/>
      </c>
      <c r="AO28" s="165">
        <f t="shared" si="17"/>
        <v>0</v>
      </c>
    </row>
    <row r="29" spans="1:41" ht="12.75">
      <c r="A29" s="90"/>
      <c r="B29" s="91"/>
      <c r="C29" s="78"/>
      <c r="D29" s="89"/>
      <c r="E29" s="82"/>
      <c r="F29" s="221">
        <f t="shared" si="0"/>
        <v>0</v>
      </c>
      <c r="G29" s="169">
        <f t="shared" si="1"/>
        <v>0</v>
      </c>
      <c r="H29" s="114"/>
      <c r="I29" s="221">
        <f t="shared" si="2"/>
        <v>0</v>
      </c>
      <c r="J29" s="169">
        <f t="shared" si="3"/>
        <v>0</v>
      </c>
      <c r="K29" s="86"/>
      <c r="L29" s="221">
        <f t="shared" si="4"/>
        <v>0</v>
      </c>
      <c r="M29" s="169">
        <f t="shared" si="5"/>
        <v>0</v>
      </c>
      <c r="N29" s="82"/>
      <c r="O29" s="210">
        <f t="shared" si="6"/>
        <v>0</v>
      </c>
      <c r="P29" s="212">
        <f t="shared" si="7"/>
        <v>0</v>
      </c>
      <c r="Q29" s="114"/>
      <c r="R29" s="210">
        <f t="shared" si="8"/>
        <v>0</v>
      </c>
      <c r="S29" s="212">
        <f t="shared" si="9"/>
        <v>0</v>
      </c>
      <c r="T29" s="83"/>
      <c r="U29" s="210">
        <f t="shared" si="10"/>
        <v>0</v>
      </c>
      <c r="V29" s="212">
        <f t="shared" si="11"/>
        <v>0</v>
      </c>
      <c r="W29" s="83"/>
      <c r="X29" s="210">
        <f t="shared" si="12"/>
        <v>0</v>
      </c>
      <c r="Y29" s="212">
        <f t="shared" si="13"/>
        <v>0</v>
      </c>
      <c r="Z29" s="100">
        <f>(LARGE((F29,I29,L29),1)+LARGE((O29,R29),1)+LARGE((U29,X29),1))</f>
        <v>0</v>
      </c>
      <c r="AA29" s="101">
        <f t="shared" si="14"/>
      </c>
      <c r="AB29" s="104">
        <f t="shared" si="15"/>
      </c>
      <c r="AC29" s="87">
        <f t="shared" si="16"/>
      </c>
      <c r="AO29" s="165">
        <f t="shared" si="17"/>
        <v>0</v>
      </c>
    </row>
    <row r="30" spans="1:41" ht="12.75">
      <c r="A30" s="90"/>
      <c r="B30" s="91"/>
      <c r="C30" s="78"/>
      <c r="D30" s="89"/>
      <c r="E30" s="82"/>
      <c r="F30" s="221">
        <f t="shared" si="0"/>
        <v>0</v>
      </c>
      <c r="G30" s="169">
        <f t="shared" si="1"/>
        <v>0</v>
      </c>
      <c r="H30" s="114"/>
      <c r="I30" s="221">
        <f t="shared" si="2"/>
        <v>0</v>
      </c>
      <c r="J30" s="169">
        <f t="shared" si="3"/>
        <v>0</v>
      </c>
      <c r="K30" s="86"/>
      <c r="L30" s="221">
        <f t="shared" si="4"/>
        <v>0</v>
      </c>
      <c r="M30" s="169">
        <f t="shared" si="5"/>
        <v>0</v>
      </c>
      <c r="N30" s="82"/>
      <c r="O30" s="210">
        <f t="shared" si="6"/>
        <v>0</v>
      </c>
      <c r="P30" s="212">
        <f t="shared" si="7"/>
        <v>0</v>
      </c>
      <c r="Q30" s="114"/>
      <c r="R30" s="210">
        <f t="shared" si="8"/>
        <v>0</v>
      </c>
      <c r="S30" s="212">
        <f t="shared" si="9"/>
        <v>0</v>
      </c>
      <c r="T30" s="83"/>
      <c r="U30" s="210">
        <f t="shared" si="10"/>
        <v>0</v>
      </c>
      <c r="V30" s="212">
        <f t="shared" si="11"/>
        <v>0</v>
      </c>
      <c r="W30" s="83"/>
      <c r="X30" s="210">
        <f t="shared" si="12"/>
        <v>0</v>
      </c>
      <c r="Y30" s="212">
        <f t="shared" si="13"/>
        <v>0</v>
      </c>
      <c r="Z30" s="100">
        <f>(LARGE((F30,I30,L30),1)+LARGE((O30,R30),1)+LARGE((U30,X30),1))</f>
        <v>0</v>
      </c>
      <c r="AA30" s="101">
        <f t="shared" si="14"/>
      </c>
      <c r="AB30" s="104">
        <f t="shared" si="15"/>
      </c>
      <c r="AC30" s="87">
        <f t="shared" si="16"/>
      </c>
      <c r="AO30" s="165">
        <f t="shared" si="17"/>
        <v>0</v>
      </c>
    </row>
    <row r="31" spans="1:41" ht="12.75">
      <c r="A31" s="90"/>
      <c r="B31" s="91"/>
      <c r="C31" s="78"/>
      <c r="D31" s="89"/>
      <c r="E31" s="82"/>
      <c r="F31" s="221">
        <f t="shared" si="0"/>
        <v>0</v>
      </c>
      <c r="G31" s="169">
        <f t="shared" si="1"/>
        <v>0</v>
      </c>
      <c r="H31" s="114"/>
      <c r="I31" s="221">
        <f t="shared" si="2"/>
        <v>0</v>
      </c>
      <c r="J31" s="169">
        <f t="shared" si="3"/>
        <v>0</v>
      </c>
      <c r="K31" s="86"/>
      <c r="L31" s="221">
        <f t="shared" si="4"/>
        <v>0</v>
      </c>
      <c r="M31" s="169">
        <f t="shared" si="5"/>
        <v>0</v>
      </c>
      <c r="N31" s="82"/>
      <c r="O31" s="210">
        <f t="shared" si="6"/>
        <v>0</v>
      </c>
      <c r="P31" s="212">
        <f t="shared" si="7"/>
        <v>0</v>
      </c>
      <c r="Q31" s="114"/>
      <c r="R31" s="210">
        <f t="shared" si="8"/>
        <v>0</v>
      </c>
      <c r="S31" s="212">
        <f t="shared" si="9"/>
        <v>0</v>
      </c>
      <c r="T31" s="83"/>
      <c r="U31" s="210">
        <f t="shared" si="10"/>
        <v>0</v>
      </c>
      <c r="V31" s="212">
        <f t="shared" si="11"/>
        <v>0</v>
      </c>
      <c r="W31" s="83"/>
      <c r="X31" s="210">
        <f t="shared" si="12"/>
        <v>0</v>
      </c>
      <c r="Y31" s="212">
        <f t="shared" si="13"/>
        <v>0</v>
      </c>
      <c r="Z31" s="100">
        <f>(LARGE((F31,I31,L31),1)+LARGE((O31,R31),1)+LARGE((U31,X31),1))</f>
        <v>0</v>
      </c>
      <c r="AA31" s="101">
        <f t="shared" si="14"/>
      </c>
      <c r="AB31" s="104">
        <f t="shared" si="15"/>
      </c>
      <c r="AC31" s="87">
        <f t="shared" si="16"/>
      </c>
      <c r="AO31" s="165">
        <f t="shared" si="17"/>
        <v>0</v>
      </c>
    </row>
    <row r="32" spans="1:41" ht="12.75">
      <c r="A32" s="90"/>
      <c r="B32" s="91"/>
      <c r="C32" s="78"/>
      <c r="D32" s="89"/>
      <c r="E32" s="94"/>
      <c r="F32" s="221">
        <f t="shared" si="0"/>
        <v>0</v>
      </c>
      <c r="G32" s="169">
        <f t="shared" si="1"/>
        <v>0</v>
      </c>
      <c r="H32" s="114"/>
      <c r="I32" s="221">
        <f t="shared" si="2"/>
        <v>0</v>
      </c>
      <c r="J32" s="169">
        <f t="shared" si="3"/>
        <v>0</v>
      </c>
      <c r="K32" s="86"/>
      <c r="L32" s="221">
        <f t="shared" si="4"/>
        <v>0</v>
      </c>
      <c r="M32" s="169">
        <f t="shared" si="5"/>
        <v>0</v>
      </c>
      <c r="N32" s="94"/>
      <c r="O32" s="210">
        <f t="shared" si="6"/>
        <v>0</v>
      </c>
      <c r="P32" s="212">
        <f t="shared" si="7"/>
        <v>0</v>
      </c>
      <c r="Q32" s="114"/>
      <c r="R32" s="210">
        <f t="shared" si="8"/>
        <v>0</v>
      </c>
      <c r="S32" s="212">
        <f t="shared" si="9"/>
        <v>0</v>
      </c>
      <c r="T32" s="94"/>
      <c r="U32" s="210">
        <f t="shared" si="10"/>
        <v>0</v>
      </c>
      <c r="V32" s="212">
        <f t="shared" si="11"/>
        <v>0</v>
      </c>
      <c r="W32" s="94"/>
      <c r="X32" s="210">
        <f t="shared" si="12"/>
        <v>0</v>
      </c>
      <c r="Y32" s="212">
        <f t="shared" si="13"/>
        <v>0</v>
      </c>
      <c r="Z32" s="100">
        <f>(LARGE((F32,I32,L32),1)+LARGE((O32,R32),1)+LARGE((U32,X32),1))</f>
        <v>0</v>
      </c>
      <c r="AA32" s="101">
        <f t="shared" si="14"/>
      </c>
      <c r="AB32" s="104">
        <f t="shared" si="15"/>
      </c>
      <c r="AC32" s="87">
        <f t="shared" si="16"/>
      </c>
      <c r="AO32" s="165">
        <f t="shared" si="17"/>
        <v>0</v>
      </c>
    </row>
    <row r="33" spans="1:41" ht="12.75">
      <c r="A33" s="90"/>
      <c r="B33" s="91"/>
      <c r="C33" s="78"/>
      <c r="D33" s="89"/>
      <c r="E33" s="94"/>
      <c r="F33" s="221">
        <f t="shared" si="0"/>
        <v>0</v>
      </c>
      <c r="G33" s="169">
        <f t="shared" si="1"/>
        <v>0</v>
      </c>
      <c r="H33" s="114"/>
      <c r="I33" s="221">
        <f t="shared" si="2"/>
        <v>0</v>
      </c>
      <c r="J33" s="169">
        <f t="shared" si="3"/>
        <v>0</v>
      </c>
      <c r="K33" s="86"/>
      <c r="L33" s="221">
        <f t="shared" si="4"/>
        <v>0</v>
      </c>
      <c r="M33" s="169">
        <f t="shared" si="5"/>
        <v>0</v>
      </c>
      <c r="N33" s="94"/>
      <c r="O33" s="210">
        <f t="shared" si="6"/>
        <v>0</v>
      </c>
      <c r="P33" s="212">
        <f t="shared" si="7"/>
        <v>0</v>
      </c>
      <c r="Q33" s="114"/>
      <c r="R33" s="210">
        <f t="shared" si="8"/>
        <v>0</v>
      </c>
      <c r="S33" s="212">
        <f t="shared" si="9"/>
        <v>0</v>
      </c>
      <c r="T33" s="94"/>
      <c r="U33" s="210">
        <f t="shared" si="10"/>
        <v>0</v>
      </c>
      <c r="V33" s="212">
        <f t="shared" si="11"/>
        <v>0</v>
      </c>
      <c r="W33" s="94"/>
      <c r="X33" s="210">
        <f t="shared" si="12"/>
        <v>0</v>
      </c>
      <c r="Y33" s="212">
        <f t="shared" si="13"/>
        <v>0</v>
      </c>
      <c r="Z33" s="100">
        <f>(LARGE((F33,I33,L33),1)+LARGE((O33,R33),1)+LARGE((U33,X33),1))</f>
        <v>0</v>
      </c>
      <c r="AA33" s="101">
        <f t="shared" si="14"/>
      </c>
      <c r="AB33" s="104">
        <f t="shared" si="15"/>
      </c>
      <c r="AC33" s="87">
        <f t="shared" si="16"/>
      </c>
      <c r="AO33" s="165">
        <f t="shared" si="17"/>
        <v>0</v>
      </c>
    </row>
    <row r="34" spans="1:41" ht="12.75">
      <c r="A34" s="90"/>
      <c r="B34" s="91"/>
      <c r="C34" s="78"/>
      <c r="D34" s="89"/>
      <c r="E34" s="94"/>
      <c r="F34" s="221">
        <f t="shared" si="0"/>
        <v>0</v>
      </c>
      <c r="G34" s="169">
        <f t="shared" si="1"/>
        <v>0</v>
      </c>
      <c r="H34" s="114"/>
      <c r="I34" s="221">
        <f t="shared" si="2"/>
        <v>0</v>
      </c>
      <c r="J34" s="169">
        <f t="shared" si="3"/>
        <v>0</v>
      </c>
      <c r="K34" s="86"/>
      <c r="L34" s="221">
        <f t="shared" si="4"/>
        <v>0</v>
      </c>
      <c r="M34" s="169">
        <f t="shared" si="5"/>
        <v>0</v>
      </c>
      <c r="N34" s="94"/>
      <c r="O34" s="210">
        <f t="shared" si="6"/>
        <v>0</v>
      </c>
      <c r="P34" s="212">
        <f t="shared" si="7"/>
        <v>0</v>
      </c>
      <c r="Q34" s="114"/>
      <c r="R34" s="210">
        <f t="shared" si="8"/>
        <v>0</v>
      </c>
      <c r="S34" s="212">
        <f t="shared" si="9"/>
        <v>0</v>
      </c>
      <c r="T34" s="94"/>
      <c r="U34" s="210">
        <f t="shared" si="10"/>
        <v>0</v>
      </c>
      <c r="V34" s="212">
        <f t="shared" si="11"/>
        <v>0</v>
      </c>
      <c r="W34" s="94"/>
      <c r="X34" s="210">
        <f t="shared" si="12"/>
        <v>0</v>
      </c>
      <c r="Y34" s="212">
        <f t="shared" si="13"/>
        <v>0</v>
      </c>
      <c r="Z34" s="100">
        <f>(LARGE((F34,I34,L34),1)+LARGE((O34,R34),1)+LARGE((U34,X34),1))</f>
        <v>0</v>
      </c>
      <c r="AA34" s="101">
        <f t="shared" si="14"/>
      </c>
      <c r="AB34" s="104">
        <f t="shared" si="15"/>
      </c>
      <c r="AC34" s="87">
        <f t="shared" si="16"/>
      </c>
      <c r="AO34" s="165">
        <f t="shared" si="17"/>
        <v>0</v>
      </c>
    </row>
    <row r="35" spans="1:41" ht="12.75">
      <c r="A35" s="90"/>
      <c r="B35" s="91"/>
      <c r="C35" s="78"/>
      <c r="D35" s="89"/>
      <c r="E35" s="94"/>
      <c r="F35" s="221">
        <f t="shared" si="0"/>
        <v>0</v>
      </c>
      <c r="G35" s="169">
        <f t="shared" si="1"/>
        <v>0</v>
      </c>
      <c r="H35" s="114"/>
      <c r="I35" s="221">
        <f t="shared" si="2"/>
        <v>0</v>
      </c>
      <c r="J35" s="169">
        <f t="shared" si="3"/>
        <v>0</v>
      </c>
      <c r="K35" s="86"/>
      <c r="L35" s="221">
        <f t="shared" si="4"/>
        <v>0</v>
      </c>
      <c r="M35" s="169">
        <f t="shared" si="5"/>
        <v>0</v>
      </c>
      <c r="N35" s="94"/>
      <c r="O35" s="210">
        <f t="shared" si="6"/>
        <v>0</v>
      </c>
      <c r="P35" s="212">
        <f t="shared" si="7"/>
        <v>0</v>
      </c>
      <c r="Q35" s="114"/>
      <c r="R35" s="210">
        <f t="shared" si="8"/>
        <v>0</v>
      </c>
      <c r="S35" s="212">
        <f t="shared" si="9"/>
        <v>0</v>
      </c>
      <c r="T35" s="94"/>
      <c r="U35" s="210">
        <f t="shared" si="10"/>
        <v>0</v>
      </c>
      <c r="V35" s="212">
        <f t="shared" si="11"/>
        <v>0</v>
      </c>
      <c r="W35" s="94"/>
      <c r="X35" s="210">
        <f t="shared" si="12"/>
        <v>0</v>
      </c>
      <c r="Y35" s="212">
        <f t="shared" si="13"/>
        <v>0</v>
      </c>
      <c r="Z35" s="100">
        <f>(LARGE((F35,I35,L35),1)+LARGE((O35,R35),1)+LARGE((U35,X35),1))</f>
        <v>0</v>
      </c>
      <c r="AA35" s="101">
        <f t="shared" si="14"/>
      </c>
      <c r="AB35" s="104">
        <f t="shared" si="15"/>
      </c>
      <c r="AC35" s="87">
        <f t="shared" si="16"/>
      </c>
      <c r="AO35" s="165">
        <f t="shared" si="17"/>
        <v>0</v>
      </c>
    </row>
    <row r="36" spans="1:41" ht="12.75">
      <c r="A36" s="90"/>
      <c r="B36" s="91"/>
      <c r="C36" s="78"/>
      <c r="D36" s="89"/>
      <c r="E36" s="94"/>
      <c r="F36" s="221">
        <f t="shared" si="0"/>
        <v>0</v>
      </c>
      <c r="G36" s="169">
        <f t="shared" si="1"/>
        <v>0</v>
      </c>
      <c r="H36" s="114"/>
      <c r="I36" s="221">
        <f t="shared" si="2"/>
        <v>0</v>
      </c>
      <c r="J36" s="169">
        <f t="shared" si="3"/>
        <v>0</v>
      </c>
      <c r="K36" s="86"/>
      <c r="L36" s="221">
        <f t="shared" si="4"/>
        <v>0</v>
      </c>
      <c r="M36" s="169">
        <f t="shared" si="5"/>
        <v>0</v>
      </c>
      <c r="N36" s="94"/>
      <c r="O36" s="210">
        <f t="shared" si="6"/>
        <v>0</v>
      </c>
      <c r="P36" s="212">
        <f t="shared" si="7"/>
        <v>0</v>
      </c>
      <c r="Q36" s="114"/>
      <c r="R36" s="210">
        <f t="shared" si="8"/>
        <v>0</v>
      </c>
      <c r="S36" s="212">
        <f t="shared" si="9"/>
        <v>0</v>
      </c>
      <c r="T36" s="94"/>
      <c r="U36" s="210">
        <f t="shared" si="10"/>
        <v>0</v>
      </c>
      <c r="V36" s="212">
        <f t="shared" si="11"/>
        <v>0</v>
      </c>
      <c r="W36" s="94"/>
      <c r="X36" s="210">
        <f t="shared" si="12"/>
        <v>0</v>
      </c>
      <c r="Y36" s="212">
        <f t="shared" si="13"/>
        <v>0</v>
      </c>
      <c r="Z36" s="100">
        <f>(LARGE((F36,I36,L36),1)+LARGE((O36,R36),1)+LARGE((U36,X36),1))</f>
        <v>0</v>
      </c>
      <c r="AA36" s="101">
        <f t="shared" si="14"/>
      </c>
      <c r="AB36" s="104">
        <f t="shared" si="15"/>
      </c>
      <c r="AC36" s="87">
        <f t="shared" si="16"/>
      </c>
      <c r="AO36" s="165">
        <f t="shared" si="17"/>
        <v>0</v>
      </c>
    </row>
    <row r="37" spans="1:41" ht="12.75">
      <c r="A37" s="90"/>
      <c r="B37" s="91"/>
      <c r="C37" s="78"/>
      <c r="D37" s="89"/>
      <c r="E37" s="94"/>
      <c r="F37" s="221">
        <f t="shared" si="0"/>
        <v>0</v>
      </c>
      <c r="G37" s="169">
        <f t="shared" si="1"/>
        <v>0</v>
      </c>
      <c r="H37" s="114"/>
      <c r="I37" s="221">
        <f t="shared" si="2"/>
        <v>0</v>
      </c>
      <c r="J37" s="169">
        <f t="shared" si="3"/>
        <v>0</v>
      </c>
      <c r="K37" s="86"/>
      <c r="L37" s="221">
        <f t="shared" si="4"/>
        <v>0</v>
      </c>
      <c r="M37" s="169">
        <f t="shared" si="5"/>
        <v>0</v>
      </c>
      <c r="N37" s="94"/>
      <c r="O37" s="210">
        <f t="shared" si="6"/>
        <v>0</v>
      </c>
      <c r="P37" s="212">
        <f t="shared" si="7"/>
        <v>0</v>
      </c>
      <c r="Q37" s="114"/>
      <c r="R37" s="210">
        <f t="shared" si="8"/>
        <v>0</v>
      </c>
      <c r="S37" s="212">
        <f t="shared" si="9"/>
        <v>0</v>
      </c>
      <c r="T37" s="94"/>
      <c r="U37" s="210">
        <f t="shared" si="10"/>
        <v>0</v>
      </c>
      <c r="V37" s="212">
        <f t="shared" si="11"/>
        <v>0</v>
      </c>
      <c r="W37" s="94"/>
      <c r="X37" s="210">
        <f t="shared" si="12"/>
        <v>0</v>
      </c>
      <c r="Y37" s="212">
        <f t="shared" si="13"/>
        <v>0</v>
      </c>
      <c r="Z37" s="100">
        <f>(LARGE((F37,I37,L37),1)+LARGE((O37,R37),1)+LARGE((U37,X37),1))</f>
        <v>0</v>
      </c>
      <c r="AA37" s="101">
        <f t="shared" si="14"/>
      </c>
      <c r="AB37" s="104">
        <f t="shared" si="15"/>
      </c>
      <c r="AC37" s="87">
        <f t="shared" si="16"/>
      </c>
      <c r="AO37" s="165">
        <f t="shared" si="17"/>
        <v>0</v>
      </c>
    </row>
    <row r="38" spans="1:41" ht="12.75">
      <c r="A38" s="90"/>
      <c r="B38" s="91"/>
      <c r="C38" s="78"/>
      <c r="D38" s="89"/>
      <c r="E38" s="94"/>
      <c r="F38" s="221">
        <f t="shared" si="0"/>
        <v>0</v>
      </c>
      <c r="G38" s="169">
        <f t="shared" si="1"/>
        <v>0</v>
      </c>
      <c r="H38" s="114"/>
      <c r="I38" s="221">
        <f t="shared" si="2"/>
        <v>0</v>
      </c>
      <c r="J38" s="169">
        <f t="shared" si="3"/>
        <v>0</v>
      </c>
      <c r="K38" s="86"/>
      <c r="L38" s="221">
        <f t="shared" si="4"/>
        <v>0</v>
      </c>
      <c r="M38" s="169">
        <f t="shared" si="5"/>
        <v>0</v>
      </c>
      <c r="N38" s="94"/>
      <c r="O38" s="210">
        <f t="shared" si="6"/>
        <v>0</v>
      </c>
      <c r="P38" s="212">
        <f t="shared" si="7"/>
        <v>0</v>
      </c>
      <c r="Q38" s="114"/>
      <c r="R38" s="210">
        <f t="shared" si="8"/>
        <v>0</v>
      </c>
      <c r="S38" s="212">
        <f t="shared" si="9"/>
        <v>0</v>
      </c>
      <c r="T38" s="94"/>
      <c r="U38" s="210">
        <f t="shared" si="10"/>
        <v>0</v>
      </c>
      <c r="V38" s="212">
        <f t="shared" si="11"/>
        <v>0</v>
      </c>
      <c r="W38" s="94"/>
      <c r="X38" s="210">
        <f t="shared" si="12"/>
        <v>0</v>
      </c>
      <c r="Y38" s="212">
        <f t="shared" si="13"/>
        <v>0</v>
      </c>
      <c r="Z38" s="100">
        <f>(LARGE((F38,I38,L38),1)+LARGE((O38,R38),1)+LARGE((U38,X38),1))</f>
        <v>0</v>
      </c>
      <c r="AA38" s="101">
        <f t="shared" si="14"/>
      </c>
      <c r="AB38" s="104">
        <f t="shared" si="15"/>
      </c>
      <c r="AC38" s="87">
        <f t="shared" si="16"/>
      </c>
      <c r="AO38" s="165">
        <f t="shared" si="17"/>
        <v>0</v>
      </c>
    </row>
    <row r="39" spans="1:41" ht="12.75">
      <c r="A39" s="90"/>
      <c r="B39" s="91"/>
      <c r="C39" s="78"/>
      <c r="D39" s="89"/>
      <c r="E39" s="94"/>
      <c r="F39" s="221">
        <f t="shared" si="0"/>
        <v>0</v>
      </c>
      <c r="G39" s="169">
        <f t="shared" si="1"/>
        <v>0</v>
      </c>
      <c r="H39" s="114"/>
      <c r="I39" s="221">
        <f t="shared" si="2"/>
        <v>0</v>
      </c>
      <c r="J39" s="169">
        <f t="shared" si="3"/>
        <v>0</v>
      </c>
      <c r="K39" s="86"/>
      <c r="L39" s="221">
        <f t="shared" si="4"/>
        <v>0</v>
      </c>
      <c r="M39" s="169">
        <f t="shared" si="5"/>
        <v>0</v>
      </c>
      <c r="N39" s="94"/>
      <c r="O39" s="210">
        <f t="shared" si="6"/>
        <v>0</v>
      </c>
      <c r="P39" s="212">
        <f t="shared" si="7"/>
        <v>0</v>
      </c>
      <c r="Q39" s="114"/>
      <c r="R39" s="210">
        <f t="shared" si="8"/>
        <v>0</v>
      </c>
      <c r="S39" s="212">
        <f t="shared" si="9"/>
        <v>0</v>
      </c>
      <c r="T39" s="94"/>
      <c r="U39" s="210">
        <f>IF(T39="NT",0,IF(T39&lt;2,0,VLOOKUP(T39,T_Shot,8,TRUE)))</f>
        <v>0</v>
      </c>
      <c r="V39" s="212">
        <f t="shared" si="11"/>
        <v>0</v>
      </c>
      <c r="W39" s="94"/>
      <c r="X39" s="210">
        <f>IF(W39="NT",0,IF(W39&lt;4,0,VLOOKUP(W39,T_Javlin,6,TRUE)))</f>
        <v>0</v>
      </c>
      <c r="Y39" s="212">
        <f t="shared" si="13"/>
        <v>0</v>
      </c>
      <c r="Z39" s="100">
        <f>(LARGE((F39,I39,L39),1)+LARGE((O39,R39),1)+LARGE((U39,X39),1))</f>
        <v>0</v>
      </c>
      <c r="AA39" s="101">
        <f t="shared" si="14"/>
      </c>
      <c r="AB39" s="104">
        <f t="shared" si="15"/>
      </c>
      <c r="AC39" s="87">
        <f>IF(Z39&lt;15,"",HLOOKUP(Z39,T_U13B_3_Events,5))</f>
      </c>
      <c r="AO39" s="165">
        <f t="shared" si="17"/>
        <v>0</v>
      </c>
    </row>
    <row r="40" spans="1:41" ht="12.75">
      <c r="A40" s="90"/>
      <c r="B40" s="91"/>
      <c r="C40" s="78"/>
      <c r="D40" s="89"/>
      <c r="E40" s="94"/>
      <c r="F40" s="221">
        <f t="shared" si="0"/>
        <v>0</v>
      </c>
      <c r="G40" s="169">
        <f t="shared" si="1"/>
        <v>0</v>
      </c>
      <c r="H40" s="114"/>
      <c r="I40" s="221">
        <f t="shared" si="2"/>
        <v>0</v>
      </c>
      <c r="J40" s="169">
        <f t="shared" si="3"/>
        <v>0</v>
      </c>
      <c r="K40" s="86"/>
      <c r="L40" s="221">
        <f t="shared" si="4"/>
        <v>0</v>
      </c>
      <c r="M40" s="169">
        <f t="shared" si="5"/>
        <v>0</v>
      </c>
      <c r="N40" s="94"/>
      <c r="O40" s="210">
        <f t="shared" si="6"/>
        <v>0</v>
      </c>
      <c r="P40" s="212">
        <f t="shared" si="7"/>
        <v>0</v>
      </c>
      <c r="Q40" s="114"/>
      <c r="R40" s="210">
        <f t="shared" si="8"/>
        <v>0</v>
      </c>
      <c r="S40" s="212">
        <f t="shared" si="9"/>
        <v>0</v>
      </c>
      <c r="T40" s="94"/>
      <c r="U40" s="210">
        <f>IF(T40="NT",0,IF(T40&lt;2,0,VLOOKUP(T40,T_Shot,8,TRUE)))</f>
        <v>0</v>
      </c>
      <c r="V40" s="212">
        <f t="shared" si="11"/>
        <v>0</v>
      </c>
      <c r="W40" s="94"/>
      <c r="X40" s="210">
        <f>IF(W40="NT",0,IF(W40&lt;4,0,VLOOKUP(W40,T_Javlin,6,TRUE)))</f>
        <v>0</v>
      </c>
      <c r="Y40" s="212">
        <f t="shared" si="13"/>
        <v>0</v>
      </c>
      <c r="Z40" s="100">
        <f>(LARGE((F40,I40,L40),1)+LARGE((O40,R40),1)+LARGE((U40,X40),1))</f>
        <v>0</v>
      </c>
      <c r="AA40" s="101">
        <f t="shared" si="14"/>
      </c>
      <c r="AB40" s="104">
        <f t="shared" si="15"/>
      </c>
      <c r="AC40" s="87">
        <f>IF(Z40&lt;15,"",HLOOKUP(Z40,T_U13B_3_Events,5))</f>
      </c>
      <c r="AO40" s="165">
        <f t="shared" si="17"/>
        <v>0</v>
      </c>
    </row>
    <row r="41" spans="1:41" ht="12.75">
      <c r="A41" s="90"/>
      <c r="B41" s="91"/>
      <c r="C41" s="78"/>
      <c r="D41" s="89"/>
      <c r="E41" s="94"/>
      <c r="F41" s="221">
        <f t="shared" si="0"/>
        <v>0</v>
      </c>
      <c r="G41" s="215">
        <f t="shared" si="1"/>
        <v>0</v>
      </c>
      <c r="H41" s="114"/>
      <c r="I41" s="221">
        <f t="shared" si="2"/>
        <v>0</v>
      </c>
      <c r="J41" s="215">
        <f t="shared" si="3"/>
        <v>0</v>
      </c>
      <c r="K41" s="86"/>
      <c r="L41" s="221">
        <f t="shared" si="4"/>
        <v>0</v>
      </c>
      <c r="M41" s="215">
        <f t="shared" si="5"/>
        <v>0</v>
      </c>
      <c r="N41" s="94"/>
      <c r="O41" s="210">
        <f t="shared" si="6"/>
        <v>0</v>
      </c>
      <c r="P41" s="213">
        <f t="shared" si="7"/>
        <v>0</v>
      </c>
      <c r="Q41" s="114"/>
      <c r="R41" s="210">
        <f t="shared" si="8"/>
        <v>0</v>
      </c>
      <c r="S41" s="213">
        <f t="shared" si="9"/>
        <v>0</v>
      </c>
      <c r="T41" s="94"/>
      <c r="U41" s="210">
        <f>IF(T41="NT",0,IF(T41&lt;2,0,VLOOKUP(T41,T_Shot,8,TRUE)))</f>
        <v>0</v>
      </c>
      <c r="V41" s="213">
        <f t="shared" si="11"/>
        <v>0</v>
      </c>
      <c r="W41" s="94"/>
      <c r="X41" s="210">
        <f>IF(W41="NT",0,IF(W41&lt;4,0,VLOOKUP(W41,T_Javlin,6,TRUE)))</f>
        <v>0</v>
      </c>
      <c r="Y41" s="213">
        <f t="shared" si="13"/>
        <v>0</v>
      </c>
      <c r="Z41" s="100">
        <f>(LARGE((F41,I41,L41),1)+LARGE((O41,R41),1)+LARGE((U41,X41),1))</f>
        <v>0</v>
      </c>
      <c r="AA41" s="101">
        <f t="shared" si="14"/>
      </c>
      <c r="AB41" s="104">
        <f t="shared" si="15"/>
      </c>
      <c r="AC41" s="87">
        <f>IF(Z41&lt;15,"",HLOOKUP(Z41,T_U13B_3_Events,5))</f>
      </c>
      <c r="AO41" s="165">
        <f t="shared" si="17"/>
        <v>0</v>
      </c>
    </row>
    <row r="42" spans="1:28" ht="12.75">
      <c r="A42" s="96"/>
      <c r="B42" s="96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</row>
  </sheetData>
  <sheetProtection sheet="1" objects="1" scenarios="1"/>
  <mergeCells count="2">
    <mergeCell ref="A1:AC1"/>
    <mergeCell ref="I2:P2"/>
  </mergeCells>
  <dataValidations count="2">
    <dataValidation type="list" allowBlank="1" showInputMessage="1" showErrorMessage="1" sqref="C7:C41">
      <formula1>Clubs</formula1>
    </dataValidation>
    <dataValidation type="list" allowBlank="1" showInputMessage="1" showErrorMessage="1" sqref="D7:D41">
      <formula1>CO</formula1>
    </dataValidation>
  </dataValidations>
  <printOptions horizontalCentered="1"/>
  <pageMargins left="0.42" right="0.42" top="0.5118110236220472" bottom="0.984251968503937" header="0.5118110236220472" footer="0.5118110236220472"/>
  <pageSetup fitToHeight="3" fitToWidth="1" horizontalDpi="600" verticalDpi="600" orientation="landscape" paperSize="9" scale="78" r:id="rId1"/>
  <headerFooter alignWithMargins="0">
    <oddFooter>&amp;L&amp;8Point Scores in accordance with AAAE 5 Star Award Scheme 2000
AAA Grade Tables 2007/2008&amp;R&amp;8NT = No Throw
NJ = No Jump
DNF = Did Not Finish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3"/>
    <pageSetUpPr fitToPage="1"/>
  </sheetPr>
  <dimension ref="A1:AO42"/>
  <sheetViews>
    <sheetView showZero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6.28125" style="55" customWidth="1"/>
    <col min="6" max="6" width="5.8515625" style="55" customWidth="1"/>
    <col min="7" max="7" width="3.421875" style="55" bestFit="1" customWidth="1"/>
    <col min="8" max="8" width="7.8515625" style="55" customWidth="1"/>
    <col min="9" max="9" width="5.8515625" style="55" customWidth="1"/>
    <col min="10" max="10" width="3.421875" style="55" bestFit="1" customWidth="1"/>
    <col min="11" max="11" width="6.7109375" style="55" customWidth="1"/>
    <col min="12" max="12" width="5.8515625" style="55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421875" style="55" customWidth="1"/>
    <col min="18" max="18" width="5.8515625" style="55" customWidth="1"/>
    <col min="19" max="19" width="3.421875" style="55" bestFit="1" customWidth="1"/>
    <col min="20" max="20" width="6.00390625" style="55" customWidth="1"/>
    <col min="21" max="21" width="5.8515625" style="55" customWidth="1"/>
    <col min="22" max="22" width="3.421875" style="55" bestFit="1" customWidth="1"/>
    <col min="23" max="23" width="6.00390625" style="55" customWidth="1"/>
    <col min="24" max="24" width="5.8515625" style="55" customWidth="1"/>
    <col min="25" max="25" width="3.421875" style="55" bestFit="1" customWidth="1"/>
    <col min="26" max="26" width="8.421875" style="55" bestFit="1" customWidth="1"/>
    <col min="27" max="27" width="8.421875" style="55" customWidth="1"/>
    <col min="28" max="28" width="7.28125" style="55" customWidth="1"/>
    <col min="29" max="29" width="0" style="55" hidden="1" customWidth="1"/>
    <col min="30" max="38" width="9.8515625" style="51" customWidth="1"/>
    <col min="39" max="40" width="9.140625" style="51" customWidth="1"/>
    <col min="41" max="41" width="6.28125" style="51" hidden="1" customWidth="1"/>
    <col min="42" max="16384" width="9.140625" style="51" customWidth="1"/>
  </cols>
  <sheetData>
    <row r="1" spans="1:29" ht="22.5" customHeight="1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12.75">
      <c r="A2" s="60"/>
      <c r="B2" s="52"/>
      <c r="C2" s="52"/>
      <c r="D2" s="53"/>
      <c r="E2" s="54"/>
      <c r="F2" s="54"/>
      <c r="G2" s="54"/>
      <c r="H2" s="54"/>
      <c r="I2" s="240" t="s">
        <v>126</v>
      </c>
      <c r="J2" s="240"/>
      <c r="K2" s="240"/>
      <c r="L2" s="240"/>
      <c r="M2" s="240"/>
      <c r="N2" s="240"/>
      <c r="O2" s="240"/>
      <c r="P2" s="240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Y3" s="54"/>
      <c r="AB3" s="106"/>
      <c r="AC3" s="53"/>
    </row>
    <row r="4" spans="1:28" ht="12.75">
      <c r="A4" s="59" t="s">
        <v>64</v>
      </c>
      <c r="B4" s="59"/>
      <c r="C4" s="60" t="str">
        <f>ArrangedBy</f>
        <v>Handforth W A A C</v>
      </c>
      <c r="D4" s="54"/>
      <c r="H4" s="61" t="s">
        <v>62</v>
      </c>
      <c r="I4" s="62"/>
      <c r="K4" s="63" t="s">
        <v>60</v>
      </c>
      <c r="O4" s="54"/>
      <c r="Q4" s="54"/>
      <c r="R4" s="54"/>
      <c r="T4" s="54"/>
      <c r="U4" s="54"/>
      <c r="W4" s="62"/>
      <c r="X4" s="62" t="s">
        <v>87</v>
      </c>
      <c r="Z4" s="63" t="str">
        <f>Date</f>
        <v>3rd July 2008</v>
      </c>
      <c r="AA4" s="63"/>
      <c r="AB4" s="54"/>
    </row>
    <row r="5" spans="1:29" ht="12.75">
      <c r="A5" s="59" t="s">
        <v>65</v>
      </c>
      <c r="B5" s="59"/>
      <c r="C5" s="60">
        <f>Sponsor</f>
        <v>0</v>
      </c>
      <c r="D5" s="54"/>
      <c r="H5" s="61" t="s">
        <v>63</v>
      </c>
      <c r="I5" s="62"/>
      <c r="K5" s="63"/>
      <c r="O5" s="54"/>
      <c r="Q5" s="54"/>
      <c r="R5" s="54"/>
      <c r="T5" s="54"/>
      <c r="U5" s="54"/>
      <c r="W5" s="54"/>
      <c r="X5" s="54"/>
      <c r="Z5" s="54"/>
      <c r="AA5" s="54"/>
      <c r="AB5" s="54"/>
      <c r="AC5" s="54"/>
    </row>
    <row r="6" spans="1:41" s="75" customFormat="1" ht="38.25">
      <c r="A6" s="64" t="s">
        <v>0</v>
      </c>
      <c r="B6" s="65" t="s">
        <v>1</v>
      </c>
      <c r="C6" s="65" t="s">
        <v>2</v>
      </c>
      <c r="D6" s="66" t="s">
        <v>89</v>
      </c>
      <c r="E6" s="67" t="s">
        <v>3</v>
      </c>
      <c r="F6" s="207" t="s">
        <v>6</v>
      </c>
      <c r="G6" s="208" t="s">
        <v>208</v>
      </c>
      <c r="H6" s="107" t="s">
        <v>163</v>
      </c>
      <c r="I6" s="207" t="s">
        <v>6</v>
      </c>
      <c r="J6" s="208" t="s">
        <v>208</v>
      </c>
      <c r="K6" s="67" t="s">
        <v>4</v>
      </c>
      <c r="L6" s="207" t="s">
        <v>6</v>
      </c>
      <c r="M6" s="208" t="s">
        <v>208</v>
      </c>
      <c r="N6" s="69" t="s">
        <v>50</v>
      </c>
      <c r="O6" s="209" t="s">
        <v>6</v>
      </c>
      <c r="P6" s="211" t="s">
        <v>208</v>
      </c>
      <c r="Q6" s="69" t="s">
        <v>52</v>
      </c>
      <c r="R6" s="209" t="s">
        <v>6</v>
      </c>
      <c r="S6" s="211" t="s">
        <v>208</v>
      </c>
      <c r="T6" s="71" t="s">
        <v>240</v>
      </c>
      <c r="U6" s="209" t="s">
        <v>6</v>
      </c>
      <c r="V6" s="211" t="s">
        <v>208</v>
      </c>
      <c r="W6" s="71" t="s">
        <v>5</v>
      </c>
      <c r="X6" s="209" t="s">
        <v>6</v>
      </c>
      <c r="Y6" s="211" t="s">
        <v>208</v>
      </c>
      <c r="Z6" s="72" t="s">
        <v>49</v>
      </c>
      <c r="AA6" s="66" t="s">
        <v>129</v>
      </c>
      <c r="AB6" s="73" t="s">
        <v>130</v>
      </c>
      <c r="AC6" s="108" t="s">
        <v>38</v>
      </c>
      <c r="AD6" s="74"/>
      <c r="AE6" s="74"/>
      <c r="AF6" s="74"/>
      <c r="AG6" s="74"/>
      <c r="AH6" s="74"/>
      <c r="AI6" s="74"/>
      <c r="AJ6" s="74"/>
      <c r="AK6" s="74"/>
      <c r="AL6" s="74"/>
      <c r="AO6" s="164" t="s">
        <v>93</v>
      </c>
    </row>
    <row r="7" spans="1:41" s="85" customFormat="1" ht="12.75">
      <c r="A7" s="90">
        <v>122</v>
      </c>
      <c r="B7" s="109" t="s">
        <v>233</v>
      </c>
      <c r="C7" s="78" t="s">
        <v>73</v>
      </c>
      <c r="D7" s="89"/>
      <c r="E7" s="110">
        <v>17.3</v>
      </c>
      <c r="F7" s="221">
        <f aca="true" t="shared" si="0" ref="F7:F41">IF(E7="DNF",0,IF(E7=0,0,IF(E7&lt;=14,VLOOKUP(E7,T_100m,15,TRUE),IF(E7&lt;=15.2,VLOOKUP(E7,T_100m,15,TRUE),IF(E7&lt;=21,VLOOKUP(E7-0.01,T_100m,15,TRUE)-1,0)))))</f>
        <v>28</v>
      </c>
      <c r="G7" s="222">
        <f aca="true" t="shared" si="1" ref="G7:G41">IF(F7=0,0,IF(E7&lt;=INDEX(AAA_U13G_100m,1,1),"G1",IF(E7&lt;=INDEX(AAA_U13G_100m,1,2),"G2",IF(E7&lt;=INDEX(AAA_U13G_100m,1,3),"G3",IF(E7&lt;=INDEX(AAA_U13G_100m,1,4),"G4",0)))))</f>
        <v>0</v>
      </c>
      <c r="H7" s="110"/>
      <c r="I7" s="221">
        <f aca="true" t="shared" si="2" ref="I7:I41">IF(H7="DNF",0,IF(H7=0,0,VLOOKUP(H7,T_70_Hurdles,7,TRUE)))</f>
        <v>0</v>
      </c>
      <c r="J7" s="169">
        <f aca="true" t="shared" si="3" ref="J7:J41">IF(I7=0,0,IF(H7&lt;=INDEX(AAA_U13G_70mH,1,1),"G1",IF(H7&lt;=INDEX(AAA_U13G_70mH,1,2),"G2",IF(H7&lt;=INDEX(AAA_U13G_70mH,1,3),"G3",IF(H7&lt;=INDEX(AAA_U13G_70mH,1,4),"G4",0)))))</f>
        <v>0</v>
      </c>
      <c r="K7" s="81">
        <v>0.002893518518518519</v>
      </c>
      <c r="L7" s="221">
        <f aca="true" t="shared" si="4" ref="L7:L41">IF(K7="DNF",0,IF(K7=0,0,VLOOKUP(K7,T_800m,11,TRUE)-1))</f>
        <v>25</v>
      </c>
      <c r="M7" s="169">
        <f aca="true" t="shared" si="5" ref="M7:M41">IF(L7=0,0,IF(K7&lt;=INDEX(AAA_U13G_800m,1,1),"G1",IF(K7&lt;=INDEX(AAA_U13G_800m,1,2),"G2",IF(K7&lt;=INDEX(AAA_U13G_800m,1,3),"G3",IF(K7&lt;=INDEX(AAA_U13G_800m,1,4),"G4",0)))))</f>
        <v>0</v>
      </c>
      <c r="N7" s="115">
        <v>2.42</v>
      </c>
      <c r="O7" s="210">
        <f aca="true" t="shared" si="6" ref="O7:O41">IF(N7="NJ",0,IF(N7=0,0,VLOOKUP(N7,T_Long,11,TRUE)))</f>
        <v>18</v>
      </c>
      <c r="P7" s="212">
        <f aca="true" t="shared" si="7" ref="P7:P41">IF(O7=0,0,IF(N7&gt;=INDEX(AAA_U13G_LJ,1,1),"G1",IF(N7&gt;=INDEX(AAA_U13G_LJ,1,2),"G2",IF(N7&gt;=INDEX(AAA_U13G_LJ,1,3),"G3",IF(N7&gt;=INDEX(AAA_U13G_LJ,1,4),"G4",0)))))</f>
        <v>0</v>
      </c>
      <c r="Q7" s="111"/>
      <c r="R7" s="210">
        <f aca="true" t="shared" si="8" ref="R7:R41">IF(Q7="NJ",0,IF(Q7=0,0,VLOOKUP(Q7,T_High,12,TRUE)))</f>
        <v>0</v>
      </c>
      <c r="S7" s="212">
        <f aca="true" t="shared" si="9" ref="S7:S41">IF(R7=0,0,IF(Q7&gt;=INDEX(AAA_U13G_HJ,1,1),"G1",IF(Q7&gt;=INDEX(AAA_U13G_HJ,1,2),"G2",IF(Q7&gt;=INDEX(AAA_U13G_HJ,1,3),"G3",IF(Q7&gt;=INDEX(AAA_U13G_HJ,1,4),"G4",0)))))</f>
        <v>0</v>
      </c>
      <c r="T7" s="111">
        <v>3.25</v>
      </c>
      <c r="U7" s="210">
        <f aca="true" t="shared" si="10" ref="U7:U39">IF(T7="NT",0,IF(T7&lt;2,0,VLOOKUP(T7,T_Shot,8,TRUE)))</f>
        <v>23</v>
      </c>
      <c r="V7" s="212">
        <f aca="true" t="shared" si="11" ref="V7:V41">IF(U7=0,0,IF(T7&gt;=INDEX(AAA_U13G_Shot,1,1),"G1",IF(T7&gt;=INDEX(AAA_U13G_Shot,1,2),"G2",IF(T7&gt;=INDEX(AAA_U13G_Shot,1,3),"G3",IF(T7&gt;=INDEX(AAA_U13G_Shot,1,4),"G4",0)))))</f>
        <v>0</v>
      </c>
      <c r="W7" s="111"/>
      <c r="X7" s="210">
        <f aca="true" t="shared" si="12" ref="X7:X39">IF(W7="NT",0,IF(W7&lt;4,0,VLOOKUP(W7,T_Javlin,6,TRUE)))</f>
        <v>0</v>
      </c>
      <c r="Y7" s="212">
        <f aca="true" t="shared" si="13" ref="Y7:Y41">IF(X7=0,0,IF(W7&gt;=INDEX(AAA_U13G_Jav,1,1),"G1",IF(W7&gt;=INDEX(AAA_U13G_Jav,1,2),"G2",IF(W7&gt;=INDEX(AAA_U13G_Jav,1,3),"G3",IF(W7&gt;=INDEX(AAA_U13G_Jav,1,4),"G4",0)))))</f>
        <v>0</v>
      </c>
      <c r="Z7" s="100">
        <f>(LARGE((F7,I7,L7),1)+LARGE((O7,R7),1)+LARGE((U7,X7),1))</f>
        <v>69</v>
      </c>
      <c r="AA7" s="101">
        <f aca="true" t="shared" si="14" ref="AA7:AA41">IF(AO7=0,"",RANK(Z7,AO$7:AO$41))</f>
      </c>
      <c r="AB7" s="104">
        <f aca="true" t="shared" si="15" ref="AB7:AB41">IF(Z7=0,"",RANK(Z7,Z$7:Z$41))</f>
        <v>8</v>
      </c>
      <c r="AC7" s="116" t="str">
        <f aca="true" t="shared" si="16" ref="AC7:AC39">IF(Z7&lt;15,"",HLOOKUP(Z7,T_U13G_3_Events,5))</f>
        <v>1*</v>
      </c>
      <c r="AD7" s="84"/>
      <c r="AE7" s="84"/>
      <c r="AF7" s="84"/>
      <c r="AG7" s="84"/>
      <c r="AH7" s="84"/>
      <c r="AI7" s="84"/>
      <c r="AJ7" s="84"/>
      <c r="AK7" s="84"/>
      <c r="AL7" s="84"/>
      <c r="AO7" s="165">
        <f>IF(D7="C",Z7,0)</f>
        <v>0</v>
      </c>
    </row>
    <row r="8" spans="1:41" s="85" customFormat="1" ht="12.75">
      <c r="A8" s="112">
        <v>128</v>
      </c>
      <c r="B8" s="109" t="s">
        <v>234</v>
      </c>
      <c r="C8" s="78" t="s">
        <v>73</v>
      </c>
      <c r="D8" s="89"/>
      <c r="E8" s="110">
        <v>16.11</v>
      </c>
      <c r="F8" s="221">
        <f t="shared" si="0"/>
        <v>40</v>
      </c>
      <c r="G8" s="169">
        <f t="shared" si="1"/>
        <v>0</v>
      </c>
      <c r="H8" s="110"/>
      <c r="I8" s="221">
        <f t="shared" si="2"/>
        <v>0</v>
      </c>
      <c r="J8" s="169">
        <f t="shared" si="3"/>
        <v>0</v>
      </c>
      <c r="K8" s="86">
        <v>0.0027546296296296294</v>
      </c>
      <c r="L8" s="221">
        <f t="shared" si="4"/>
        <v>31</v>
      </c>
      <c r="M8" s="169">
        <f t="shared" si="5"/>
        <v>0</v>
      </c>
      <c r="N8" s="115">
        <v>2.91</v>
      </c>
      <c r="O8" s="210">
        <f t="shared" si="6"/>
        <v>35</v>
      </c>
      <c r="P8" s="212">
        <f t="shared" si="7"/>
        <v>0</v>
      </c>
      <c r="Q8" s="111"/>
      <c r="R8" s="210">
        <f t="shared" si="8"/>
        <v>0</v>
      </c>
      <c r="S8" s="212">
        <f t="shared" si="9"/>
        <v>0</v>
      </c>
      <c r="T8" s="111">
        <v>4.06</v>
      </c>
      <c r="U8" s="210">
        <f t="shared" si="10"/>
        <v>31</v>
      </c>
      <c r="V8" s="212">
        <f t="shared" si="11"/>
        <v>0</v>
      </c>
      <c r="W8" s="111"/>
      <c r="X8" s="210">
        <f t="shared" si="12"/>
        <v>0</v>
      </c>
      <c r="Y8" s="212">
        <f t="shared" si="13"/>
        <v>0</v>
      </c>
      <c r="Z8" s="100">
        <f>(LARGE((F8,I8,L8),1)+LARGE((O8,R8),1)+LARGE((U8,X8),1))</f>
        <v>106</v>
      </c>
      <c r="AA8" s="101">
        <f t="shared" si="14"/>
      </c>
      <c r="AB8" s="104">
        <f t="shared" si="15"/>
        <v>6</v>
      </c>
      <c r="AC8" s="116" t="str">
        <f t="shared" si="16"/>
        <v>3*</v>
      </c>
      <c r="AO8" s="165">
        <f aca="true" t="shared" si="17" ref="AO8:AO41">IF(D8="C",Z8,0)</f>
        <v>0</v>
      </c>
    </row>
    <row r="9" spans="1:41" s="85" customFormat="1" ht="12.75">
      <c r="A9" s="112">
        <v>124</v>
      </c>
      <c r="B9" s="109" t="s">
        <v>235</v>
      </c>
      <c r="C9" s="78" t="s">
        <v>73</v>
      </c>
      <c r="D9" s="89"/>
      <c r="E9" s="110">
        <v>17.1</v>
      </c>
      <c r="F9" s="221">
        <f t="shared" si="0"/>
        <v>30</v>
      </c>
      <c r="G9" s="169">
        <f t="shared" si="1"/>
        <v>0</v>
      </c>
      <c r="H9" s="110"/>
      <c r="I9" s="221">
        <f t="shared" si="2"/>
        <v>0</v>
      </c>
      <c r="J9" s="169">
        <f t="shared" si="3"/>
        <v>0</v>
      </c>
      <c r="K9" s="86">
        <v>0.0027083333333333334</v>
      </c>
      <c r="L9" s="221">
        <f t="shared" si="4"/>
        <v>33</v>
      </c>
      <c r="M9" s="169">
        <f t="shared" si="5"/>
        <v>0</v>
      </c>
      <c r="N9" s="115"/>
      <c r="O9" s="210">
        <f t="shared" si="6"/>
        <v>0</v>
      </c>
      <c r="P9" s="212">
        <f t="shared" si="7"/>
        <v>0</v>
      </c>
      <c r="Q9" s="111"/>
      <c r="R9" s="210">
        <f t="shared" si="8"/>
        <v>0</v>
      </c>
      <c r="S9" s="212">
        <f t="shared" si="9"/>
        <v>0</v>
      </c>
      <c r="T9" s="111">
        <v>3.91</v>
      </c>
      <c r="U9" s="210">
        <f t="shared" si="10"/>
        <v>30</v>
      </c>
      <c r="V9" s="212">
        <f t="shared" si="11"/>
        <v>0</v>
      </c>
      <c r="W9" s="111"/>
      <c r="X9" s="210">
        <f t="shared" si="12"/>
        <v>0</v>
      </c>
      <c r="Y9" s="212">
        <f t="shared" si="13"/>
        <v>0</v>
      </c>
      <c r="Z9" s="100">
        <f>(LARGE((F9,I9,L9),1)+LARGE((O9,R9),1)+LARGE((U9,X9),1))</f>
        <v>63</v>
      </c>
      <c r="AA9" s="101">
        <f t="shared" si="14"/>
      </c>
      <c r="AB9" s="104">
        <f t="shared" si="15"/>
        <v>9</v>
      </c>
      <c r="AC9" s="116" t="str">
        <f t="shared" si="16"/>
        <v>1*</v>
      </c>
      <c r="AO9" s="165">
        <f t="shared" si="17"/>
        <v>0</v>
      </c>
    </row>
    <row r="10" spans="1:41" s="85" customFormat="1" ht="12.75">
      <c r="A10" s="90">
        <v>130</v>
      </c>
      <c r="B10" s="109" t="s">
        <v>236</v>
      </c>
      <c r="C10" s="78" t="s">
        <v>73</v>
      </c>
      <c r="D10" s="89"/>
      <c r="E10" s="110">
        <v>17.7</v>
      </c>
      <c r="F10" s="221">
        <f t="shared" si="0"/>
        <v>24</v>
      </c>
      <c r="G10" s="169">
        <f t="shared" si="1"/>
        <v>0</v>
      </c>
      <c r="H10" s="110"/>
      <c r="I10" s="221">
        <f t="shared" si="2"/>
        <v>0</v>
      </c>
      <c r="J10" s="169">
        <f t="shared" si="3"/>
        <v>0</v>
      </c>
      <c r="K10" s="86"/>
      <c r="L10" s="221">
        <f t="shared" si="4"/>
        <v>0</v>
      </c>
      <c r="M10" s="169">
        <f t="shared" si="5"/>
        <v>0</v>
      </c>
      <c r="N10" s="115">
        <v>2.55</v>
      </c>
      <c r="O10" s="210">
        <f t="shared" si="6"/>
        <v>23</v>
      </c>
      <c r="P10" s="212">
        <f t="shared" si="7"/>
        <v>0</v>
      </c>
      <c r="Q10" s="111"/>
      <c r="R10" s="210">
        <f t="shared" si="8"/>
        <v>0</v>
      </c>
      <c r="S10" s="212">
        <f t="shared" si="9"/>
        <v>0</v>
      </c>
      <c r="T10" s="111">
        <v>3.96</v>
      </c>
      <c r="U10" s="210">
        <f t="shared" si="10"/>
        <v>30</v>
      </c>
      <c r="V10" s="212">
        <f t="shared" si="11"/>
        <v>0</v>
      </c>
      <c r="W10" s="111"/>
      <c r="X10" s="210">
        <f t="shared" si="12"/>
        <v>0</v>
      </c>
      <c r="Y10" s="212">
        <f t="shared" si="13"/>
        <v>0</v>
      </c>
      <c r="Z10" s="100">
        <f>(LARGE((F10,I10,L10),1)+LARGE((O10,R10),1)+LARGE((U10,X10),1))</f>
        <v>77</v>
      </c>
      <c r="AA10" s="101">
        <f t="shared" si="14"/>
      </c>
      <c r="AB10" s="104">
        <f t="shared" si="15"/>
        <v>7</v>
      </c>
      <c r="AC10" s="116" t="str">
        <f t="shared" si="16"/>
        <v>2*</v>
      </c>
      <c r="AM10" s="113"/>
      <c r="AO10" s="165">
        <f t="shared" si="17"/>
        <v>0</v>
      </c>
    </row>
    <row r="11" spans="1:41" s="85" customFormat="1" ht="12.75">
      <c r="A11" s="112">
        <v>96</v>
      </c>
      <c r="B11" s="109" t="s">
        <v>237</v>
      </c>
      <c r="C11" s="78" t="s">
        <v>73</v>
      </c>
      <c r="D11" s="89"/>
      <c r="E11" s="110"/>
      <c r="F11" s="221">
        <f t="shared" si="0"/>
        <v>0</v>
      </c>
      <c r="G11" s="169">
        <f t="shared" si="1"/>
        <v>0</v>
      </c>
      <c r="H11" s="110"/>
      <c r="I11" s="221">
        <f t="shared" si="2"/>
        <v>0</v>
      </c>
      <c r="J11" s="169">
        <f t="shared" si="3"/>
        <v>0</v>
      </c>
      <c r="K11" s="86"/>
      <c r="L11" s="221">
        <f t="shared" si="4"/>
        <v>0</v>
      </c>
      <c r="M11" s="169">
        <f t="shared" si="5"/>
        <v>0</v>
      </c>
      <c r="N11" s="115"/>
      <c r="O11" s="210">
        <f t="shared" si="6"/>
        <v>0</v>
      </c>
      <c r="P11" s="212">
        <f t="shared" si="7"/>
        <v>0</v>
      </c>
      <c r="Q11" s="111"/>
      <c r="R11" s="210">
        <f t="shared" si="8"/>
        <v>0</v>
      </c>
      <c r="S11" s="212">
        <f t="shared" si="9"/>
        <v>0</v>
      </c>
      <c r="T11" s="111"/>
      <c r="U11" s="210">
        <f t="shared" si="10"/>
        <v>0</v>
      </c>
      <c r="V11" s="212">
        <f t="shared" si="11"/>
        <v>0</v>
      </c>
      <c r="W11" s="111"/>
      <c r="X11" s="210">
        <f t="shared" si="12"/>
        <v>0</v>
      </c>
      <c r="Y11" s="212">
        <f t="shared" si="13"/>
        <v>0</v>
      </c>
      <c r="Z11" s="100">
        <f>(LARGE((F11,I11,L11),1)+LARGE((O11,R11),1)+LARGE((U11,X11),1))</f>
        <v>0</v>
      </c>
      <c r="AA11" s="101">
        <f t="shared" si="14"/>
      </c>
      <c r="AB11" s="104">
        <f t="shared" si="15"/>
      </c>
      <c r="AC11" s="116">
        <f t="shared" si="16"/>
      </c>
      <c r="AM11" s="113"/>
      <c r="AO11" s="165">
        <f t="shared" si="17"/>
        <v>0</v>
      </c>
    </row>
    <row r="12" spans="1:41" s="85" customFormat="1" ht="12.75">
      <c r="A12" s="112">
        <v>105</v>
      </c>
      <c r="B12" s="109" t="s">
        <v>238</v>
      </c>
      <c r="C12" s="78" t="s">
        <v>73</v>
      </c>
      <c r="D12" s="89"/>
      <c r="E12" s="110">
        <v>13.9</v>
      </c>
      <c r="F12" s="221">
        <f t="shared" si="0"/>
        <v>74</v>
      </c>
      <c r="G12" s="169" t="str">
        <f t="shared" si="1"/>
        <v>G2</v>
      </c>
      <c r="H12" s="110"/>
      <c r="I12" s="221">
        <f t="shared" si="2"/>
        <v>0</v>
      </c>
      <c r="J12" s="169">
        <f t="shared" si="3"/>
        <v>0</v>
      </c>
      <c r="K12" s="86">
        <v>0.002743055555555556</v>
      </c>
      <c r="L12" s="221">
        <f t="shared" si="4"/>
        <v>31</v>
      </c>
      <c r="M12" s="169">
        <f t="shared" si="5"/>
        <v>0</v>
      </c>
      <c r="N12" s="115">
        <v>3.56</v>
      </c>
      <c r="O12" s="210">
        <f t="shared" si="6"/>
        <v>56</v>
      </c>
      <c r="P12" s="212" t="str">
        <f t="shared" si="7"/>
        <v>G4</v>
      </c>
      <c r="Q12" s="111"/>
      <c r="R12" s="210">
        <f t="shared" si="8"/>
        <v>0</v>
      </c>
      <c r="S12" s="212">
        <f t="shared" si="9"/>
        <v>0</v>
      </c>
      <c r="T12" s="111">
        <v>4.5</v>
      </c>
      <c r="U12" s="210">
        <f t="shared" si="10"/>
        <v>36</v>
      </c>
      <c r="V12" s="212">
        <f t="shared" si="11"/>
        <v>0</v>
      </c>
      <c r="W12" s="111"/>
      <c r="X12" s="210">
        <f t="shared" si="12"/>
        <v>0</v>
      </c>
      <c r="Y12" s="212">
        <f t="shared" si="13"/>
        <v>0</v>
      </c>
      <c r="Z12" s="100">
        <f>(LARGE((F12,I12,L12),1)+LARGE((O12,R12),1)+LARGE((U12,X12),1))</f>
        <v>166</v>
      </c>
      <c r="AA12" s="101">
        <f t="shared" si="14"/>
      </c>
      <c r="AB12" s="104">
        <f t="shared" si="15"/>
        <v>2</v>
      </c>
      <c r="AC12" s="116" t="str">
        <f t="shared" si="16"/>
        <v>5*</v>
      </c>
      <c r="AM12" s="113"/>
      <c r="AO12" s="165">
        <f t="shared" si="17"/>
        <v>0</v>
      </c>
    </row>
    <row r="13" spans="1:41" s="85" customFormat="1" ht="12.75">
      <c r="A13" s="90">
        <v>92</v>
      </c>
      <c r="B13" s="109" t="s">
        <v>98</v>
      </c>
      <c r="C13" s="78" t="s">
        <v>73</v>
      </c>
      <c r="D13" s="89"/>
      <c r="E13" s="110">
        <v>14.86</v>
      </c>
      <c r="F13" s="221">
        <f t="shared" si="0"/>
        <v>57</v>
      </c>
      <c r="G13" s="169" t="str">
        <f t="shared" si="1"/>
        <v>G4</v>
      </c>
      <c r="H13" s="110"/>
      <c r="I13" s="221">
        <f t="shared" si="2"/>
        <v>0</v>
      </c>
      <c r="J13" s="169">
        <f t="shared" si="3"/>
        <v>0</v>
      </c>
      <c r="K13" s="86">
        <v>0.0021874999999999998</v>
      </c>
      <c r="L13" s="221">
        <f t="shared" si="4"/>
        <v>55</v>
      </c>
      <c r="M13" s="169">
        <f t="shared" si="5"/>
        <v>0</v>
      </c>
      <c r="N13" s="115">
        <v>2.85</v>
      </c>
      <c r="O13" s="210">
        <f t="shared" si="6"/>
        <v>33</v>
      </c>
      <c r="P13" s="212">
        <f t="shared" si="7"/>
        <v>0</v>
      </c>
      <c r="Q13" s="111"/>
      <c r="R13" s="210">
        <f t="shared" si="8"/>
        <v>0</v>
      </c>
      <c r="S13" s="212">
        <f t="shared" si="9"/>
        <v>0</v>
      </c>
      <c r="T13" s="111">
        <v>4.65</v>
      </c>
      <c r="U13" s="210">
        <f t="shared" si="10"/>
        <v>37</v>
      </c>
      <c r="V13" s="212">
        <f t="shared" si="11"/>
        <v>0</v>
      </c>
      <c r="W13" s="111"/>
      <c r="X13" s="210">
        <f t="shared" si="12"/>
        <v>0</v>
      </c>
      <c r="Y13" s="212">
        <f t="shared" si="13"/>
        <v>0</v>
      </c>
      <c r="Z13" s="100">
        <f>(LARGE((F13,I13,L13),1)+LARGE((O13,R13),1)+LARGE((U13,X13),1))</f>
        <v>127</v>
      </c>
      <c r="AA13" s="101">
        <f t="shared" si="14"/>
      </c>
      <c r="AB13" s="104">
        <f t="shared" si="15"/>
        <v>5</v>
      </c>
      <c r="AC13" s="116" t="str">
        <f t="shared" si="16"/>
        <v>4*</v>
      </c>
      <c r="AM13" s="113"/>
      <c r="AO13" s="165">
        <f t="shared" si="17"/>
        <v>0</v>
      </c>
    </row>
    <row r="14" spans="1:41" s="85" customFormat="1" ht="12.75">
      <c r="A14" s="90">
        <v>80</v>
      </c>
      <c r="B14" s="109" t="s">
        <v>239</v>
      </c>
      <c r="C14" s="78" t="s">
        <v>73</v>
      </c>
      <c r="D14" s="89"/>
      <c r="E14" s="110">
        <v>14.7</v>
      </c>
      <c r="F14" s="221">
        <f t="shared" si="0"/>
        <v>59</v>
      </c>
      <c r="G14" s="169" t="str">
        <f t="shared" si="1"/>
        <v>G4</v>
      </c>
      <c r="H14" s="110"/>
      <c r="I14" s="221">
        <f t="shared" si="2"/>
        <v>0</v>
      </c>
      <c r="J14" s="169">
        <f t="shared" si="3"/>
        <v>0</v>
      </c>
      <c r="K14" s="86">
        <v>0.0021643518518518518</v>
      </c>
      <c r="L14" s="221">
        <f t="shared" si="4"/>
        <v>56</v>
      </c>
      <c r="M14" s="169">
        <f t="shared" si="5"/>
        <v>0</v>
      </c>
      <c r="N14" s="115">
        <v>3.15</v>
      </c>
      <c r="O14" s="210">
        <f t="shared" si="6"/>
        <v>43</v>
      </c>
      <c r="P14" s="212">
        <f t="shared" si="7"/>
        <v>0</v>
      </c>
      <c r="Q14" s="111"/>
      <c r="R14" s="210">
        <f t="shared" si="8"/>
        <v>0</v>
      </c>
      <c r="S14" s="212">
        <f t="shared" si="9"/>
        <v>0</v>
      </c>
      <c r="T14" s="111">
        <v>4.8</v>
      </c>
      <c r="U14" s="210">
        <f t="shared" si="10"/>
        <v>39</v>
      </c>
      <c r="V14" s="212">
        <f t="shared" si="11"/>
        <v>0</v>
      </c>
      <c r="W14" s="111"/>
      <c r="X14" s="210">
        <f t="shared" si="12"/>
        <v>0</v>
      </c>
      <c r="Y14" s="212">
        <f t="shared" si="13"/>
        <v>0</v>
      </c>
      <c r="Z14" s="100">
        <f>(LARGE((F14,I14,L14),1)+LARGE((O14,R14),1)+LARGE((U14,X14),1))</f>
        <v>141</v>
      </c>
      <c r="AA14" s="101">
        <f t="shared" si="14"/>
      </c>
      <c r="AB14" s="104">
        <f t="shared" si="15"/>
        <v>3</v>
      </c>
      <c r="AC14" s="116" t="str">
        <f t="shared" si="16"/>
        <v>4*</v>
      </c>
      <c r="AM14" s="113"/>
      <c r="AO14" s="165">
        <f t="shared" si="17"/>
        <v>0</v>
      </c>
    </row>
    <row r="15" spans="1:41" s="85" customFormat="1" ht="12.75">
      <c r="A15" s="90">
        <v>95</v>
      </c>
      <c r="B15" s="109" t="s">
        <v>246</v>
      </c>
      <c r="C15" s="78" t="s">
        <v>73</v>
      </c>
      <c r="D15" s="89"/>
      <c r="E15" s="110">
        <v>17.4</v>
      </c>
      <c r="F15" s="221">
        <f t="shared" si="0"/>
        <v>27</v>
      </c>
      <c r="G15" s="169">
        <f t="shared" si="1"/>
        <v>0</v>
      </c>
      <c r="H15" s="110"/>
      <c r="I15" s="221">
        <f t="shared" si="2"/>
        <v>0</v>
      </c>
      <c r="J15" s="169">
        <f t="shared" si="3"/>
        <v>0</v>
      </c>
      <c r="K15" s="86"/>
      <c r="L15" s="221">
        <f t="shared" si="4"/>
        <v>0</v>
      </c>
      <c r="M15" s="169">
        <f t="shared" si="5"/>
        <v>0</v>
      </c>
      <c r="N15" s="115"/>
      <c r="O15" s="210">
        <f t="shared" si="6"/>
        <v>0</v>
      </c>
      <c r="P15" s="212">
        <f t="shared" si="7"/>
        <v>0</v>
      </c>
      <c r="Q15" s="111"/>
      <c r="R15" s="210">
        <f t="shared" si="8"/>
        <v>0</v>
      </c>
      <c r="S15" s="212">
        <f t="shared" si="9"/>
        <v>0</v>
      </c>
      <c r="T15" s="111"/>
      <c r="U15" s="210">
        <f t="shared" si="10"/>
        <v>0</v>
      </c>
      <c r="V15" s="212">
        <f t="shared" si="11"/>
        <v>0</v>
      </c>
      <c r="W15" s="111"/>
      <c r="X15" s="210">
        <f t="shared" si="12"/>
        <v>0</v>
      </c>
      <c r="Y15" s="212">
        <f t="shared" si="13"/>
        <v>0</v>
      </c>
      <c r="Z15" s="100">
        <f>(LARGE((F15,I15,L15),1)+LARGE((O15,R15),1)+LARGE((U15,X15),1))</f>
        <v>27</v>
      </c>
      <c r="AA15" s="101">
        <f t="shared" si="14"/>
      </c>
      <c r="AB15" s="104">
        <f t="shared" si="15"/>
        <v>10</v>
      </c>
      <c r="AC15" s="116" t="e">
        <f t="shared" si="16"/>
        <v>#N/A</v>
      </c>
      <c r="AM15" s="113"/>
      <c r="AO15" s="165">
        <f t="shared" si="17"/>
        <v>0</v>
      </c>
    </row>
    <row r="16" spans="1:41" s="85" customFormat="1" ht="12.75">
      <c r="A16" s="90"/>
      <c r="B16" s="109"/>
      <c r="C16" s="78"/>
      <c r="D16" s="89"/>
      <c r="E16" s="110"/>
      <c r="F16" s="221">
        <f t="shared" si="0"/>
        <v>0</v>
      </c>
      <c r="G16" s="169">
        <f t="shared" si="1"/>
        <v>0</v>
      </c>
      <c r="H16" s="110"/>
      <c r="I16" s="221">
        <f t="shared" si="2"/>
        <v>0</v>
      </c>
      <c r="J16" s="169">
        <f t="shared" si="3"/>
        <v>0</v>
      </c>
      <c r="K16" s="86"/>
      <c r="L16" s="221">
        <f t="shared" si="4"/>
        <v>0</v>
      </c>
      <c r="M16" s="169">
        <f t="shared" si="5"/>
        <v>0</v>
      </c>
      <c r="N16" s="115"/>
      <c r="O16" s="210">
        <f t="shared" si="6"/>
        <v>0</v>
      </c>
      <c r="P16" s="212">
        <f t="shared" si="7"/>
        <v>0</v>
      </c>
      <c r="Q16" s="111"/>
      <c r="R16" s="210">
        <f t="shared" si="8"/>
        <v>0</v>
      </c>
      <c r="S16" s="212">
        <f t="shared" si="9"/>
        <v>0</v>
      </c>
      <c r="T16" s="111"/>
      <c r="U16" s="210">
        <f t="shared" si="10"/>
        <v>0</v>
      </c>
      <c r="V16" s="212">
        <f t="shared" si="11"/>
        <v>0</v>
      </c>
      <c r="W16" s="111"/>
      <c r="X16" s="210">
        <f t="shared" si="12"/>
        <v>0</v>
      </c>
      <c r="Y16" s="212">
        <f t="shared" si="13"/>
        <v>0</v>
      </c>
      <c r="Z16" s="100">
        <f>(LARGE((F16,I16,L16),1)+LARGE((O16,R16),1)+LARGE((U16,X16),1))</f>
        <v>0</v>
      </c>
      <c r="AA16" s="101">
        <f t="shared" si="14"/>
      </c>
      <c r="AB16" s="104">
        <f t="shared" si="15"/>
      </c>
      <c r="AC16" s="116">
        <f t="shared" si="16"/>
      </c>
      <c r="AM16" s="113"/>
      <c r="AO16" s="165">
        <f t="shared" si="17"/>
        <v>0</v>
      </c>
    </row>
    <row r="17" spans="1:41" s="85" customFormat="1" ht="12.75">
      <c r="A17" s="112">
        <v>82</v>
      </c>
      <c r="B17" s="109" t="s">
        <v>241</v>
      </c>
      <c r="C17" s="78" t="s">
        <v>73</v>
      </c>
      <c r="D17" s="89"/>
      <c r="E17" s="110">
        <v>17.3</v>
      </c>
      <c r="F17" s="221">
        <f t="shared" si="0"/>
        <v>28</v>
      </c>
      <c r="G17" s="169">
        <f t="shared" si="1"/>
        <v>0</v>
      </c>
      <c r="H17" s="110"/>
      <c r="I17" s="221">
        <f t="shared" si="2"/>
        <v>0</v>
      </c>
      <c r="J17" s="169">
        <f t="shared" si="3"/>
        <v>0</v>
      </c>
      <c r="K17" s="86">
        <v>0.002615740740740741</v>
      </c>
      <c r="L17" s="221">
        <f t="shared" si="4"/>
        <v>37</v>
      </c>
      <c r="M17" s="169">
        <f t="shared" si="5"/>
        <v>0</v>
      </c>
      <c r="N17" s="115">
        <v>3.5</v>
      </c>
      <c r="O17" s="210">
        <f t="shared" si="6"/>
        <v>54</v>
      </c>
      <c r="P17" s="212">
        <f t="shared" si="7"/>
        <v>0</v>
      </c>
      <c r="Q17" s="111"/>
      <c r="R17" s="210">
        <f t="shared" si="8"/>
        <v>0</v>
      </c>
      <c r="S17" s="212">
        <f t="shared" si="9"/>
        <v>0</v>
      </c>
      <c r="T17" s="111">
        <v>5.42</v>
      </c>
      <c r="U17" s="210">
        <f t="shared" si="10"/>
        <v>45</v>
      </c>
      <c r="V17" s="212">
        <f t="shared" si="11"/>
        <v>0</v>
      </c>
      <c r="W17" s="111"/>
      <c r="X17" s="210">
        <f t="shared" si="12"/>
        <v>0</v>
      </c>
      <c r="Y17" s="212">
        <f t="shared" si="13"/>
        <v>0</v>
      </c>
      <c r="Z17" s="100">
        <f>(LARGE((F17,I17,L17),1)+LARGE((O17,R17),1)+LARGE((U17,X17),1))</f>
        <v>136</v>
      </c>
      <c r="AA17" s="101">
        <f t="shared" si="14"/>
      </c>
      <c r="AB17" s="104">
        <f t="shared" si="15"/>
        <v>4</v>
      </c>
      <c r="AC17" s="116" t="str">
        <f t="shared" si="16"/>
        <v>4*</v>
      </c>
      <c r="AM17" s="113"/>
      <c r="AO17" s="165">
        <f t="shared" si="17"/>
        <v>0</v>
      </c>
    </row>
    <row r="18" spans="1:41" s="85" customFormat="1" ht="12.75">
      <c r="A18" s="90">
        <v>133</v>
      </c>
      <c r="B18" s="109" t="s">
        <v>242</v>
      </c>
      <c r="C18" s="78" t="s">
        <v>73</v>
      </c>
      <c r="D18" s="89"/>
      <c r="E18" s="110">
        <v>13.8</v>
      </c>
      <c r="F18" s="221">
        <f t="shared" si="0"/>
        <v>75</v>
      </c>
      <c r="G18" s="169" t="str">
        <f t="shared" si="1"/>
        <v>G2</v>
      </c>
      <c r="H18" s="110"/>
      <c r="I18" s="221">
        <f t="shared" si="2"/>
        <v>0</v>
      </c>
      <c r="J18" s="169">
        <f t="shared" si="3"/>
        <v>0</v>
      </c>
      <c r="K18" s="86">
        <v>0.0024652777777777776</v>
      </c>
      <c r="L18" s="221">
        <f t="shared" si="4"/>
        <v>43</v>
      </c>
      <c r="M18" s="169">
        <f t="shared" si="5"/>
        <v>0</v>
      </c>
      <c r="N18" s="115">
        <v>3.78</v>
      </c>
      <c r="O18" s="210">
        <f t="shared" si="6"/>
        <v>64</v>
      </c>
      <c r="P18" s="212" t="str">
        <f t="shared" si="7"/>
        <v>G4</v>
      </c>
      <c r="Q18" s="111"/>
      <c r="R18" s="210">
        <f t="shared" si="8"/>
        <v>0</v>
      </c>
      <c r="S18" s="212">
        <f t="shared" si="9"/>
        <v>0</v>
      </c>
      <c r="T18" s="111">
        <v>6.36</v>
      </c>
      <c r="U18" s="210">
        <f t="shared" si="10"/>
        <v>54</v>
      </c>
      <c r="V18" s="212" t="str">
        <f t="shared" si="11"/>
        <v>G4</v>
      </c>
      <c r="W18" s="111"/>
      <c r="X18" s="210">
        <f t="shared" si="12"/>
        <v>0</v>
      </c>
      <c r="Y18" s="212">
        <f t="shared" si="13"/>
        <v>0</v>
      </c>
      <c r="Z18" s="100">
        <f>(LARGE((F18,I18,L18),1)+LARGE((O18,R18),1)+LARGE((U18,X18),1))</f>
        <v>193</v>
      </c>
      <c r="AA18" s="101">
        <f t="shared" si="14"/>
      </c>
      <c r="AB18" s="104">
        <f t="shared" si="15"/>
        <v>1</v>
      </c>
      <c r="AC18" s="116" t="str">
        <f t="shared" si="16"/>
        <v>5*</v>
      </c>
      <c r="AM18" s="113"/>
      <c r="AO18" s="165">
        <f t="shared" si="17"/>
        <v>0</v>
      </c>
    </row>
    <row r="19" spans="1:41" s="85" customFormat="1" ht="12.75">
      <c r="A19" s="90"/>
      <c r="B19" s="109"/>
      <c r="C19" s="78"/>
      <c r="D19" s="89"/>
      <c r="E19" s="110"/>
      <c r="F19" s="221">
        <f t="shared" si="0"/>
        <v>0</v>
      </c>
      <c r="G19" s="169">
        <f t="shared" si="1"/>
        <v>0</v>
      </c>
      <c r="H19" s="110"/>
      <c r="I19" s="221">
        <f t="shared" si="2"/>
        <v>0</v>
      </c>
      <c r="J19" s="169">
        <f t="shared" si="3"/>
        <v>0</v>
      </c>
      <c r="K19" s="86"/>
      <c r="L19" s="221">
        <f t="shared" si="4"/>
        <v>0</v>
      </c>
      <c r="M19" s="169">
        <f t="shared" si="5"/>
        <v>0</v>
      </c>
      <c r="N19" s="115"/>
      <c r="O19" s="210">
        <f t="shared" si="6"/>
        <v>0</v>
      </c>
      <c r="P19" s="212">
        <f t="shared" si="7"/>
        <v>0</v>
      </c>
      <c r="Q19" s="111"/>
      <c r="R19" s="210">
        <f t="shared" si="8"/>
        <v>0</v>
      </c>
      <c r="S19" s="212">
        <f t="shared" si="9"/>
        <v>0</v>
      </c>
      <c r="T19" s="111"/>
      <c r="U19" s="210">
        <f t="shared" si="10"/>
        <v>0</v>
      </c>
      <c r="V19" s="212">
        <f t="shared" si="11"/>
        <v>0</v>
      </c>
      <c r="W19" s="111"/>
      <c r="X19" s="210">
        <f t="shared" si="12"/>
        <v>0</v>
      </c>
      <c r="Y19" s="212">
        <f t="shared" si="13"/>
        <v>0</v>
      </c>
      <c r="Z19" s="100">
        <f>(LARGE((F19,I19,L19),1)+LARGE((O19,R19),1)+LARGE((U19,X19),1))</f>
        <v>0</v>
      </c>
      <c r="AA19" s="101">
        <f t="shared" si="14"/>
      </c>
      <c r="AB19" s="104">
        <f t="shared" si="15"/>
      </c>
      <c r="AC19" s="116">
        <f t="shared" si="16"/>
      </c>
      <c r="AO19" s="165">
        <f t="shared" si="17"/>
        <v>0</v>
      </c>
    </row>
    <row r="20" spans="1:41" s="85" customFormat="1" ht="12.75">
      <c r="A20" s="90"/>
      <c r="B20" s="109"/>
      <c r="C20" s="78"/>
      <c r="D20" s="89"/>
      <c r="E20" s="110"/>
      <c r="F20" s="221">
        <f t="shared" si="0"/>
        <v>0</v>
      </c>
      <c r="G20" s="169">
        <f t="shared" si="1"/>
        <v>0</v>
      </c>
      <c r="H20" s="110"/>
      <c r="I20" s="221">
        <f t="shared" si="2"/>
        <v>0</v>
      </c>
      <c r="J20" s="169">
        <f t="shared" si="3"/>
        <v>0</v>
      </c>
      <c r="K20" s="86"/>
      <c r="L20" s="221">
        <f t="shared" si="4"/>
        <v>0</v>
      </c>
      <c r="M20" s="169">
        <f t="shared" si="5"/>
        <v>0</v>
      </c>
      <c r="N20" s="115"/>
      <c r="O20" s="210">
        <f t="shared" si="6"/>
        <v>0</v>
      </c>
      <c r="P20" s="212">
        <f t="shared" si="7"/>
        <v>0</v>
      </c>
      <c r="Q20" s="111"/>
      <c r="R20" s="210">
        <f t="shared" si="8"/>
        <v>0</v>
      </c>
      <c r="S20" s="212">
        <f t="shared" si="9"/>
        <v>0</v>
      </c>
      <c r="T20" s="111"/>
      <c r="U20" s="210">
        <f t="shared" si="10"/>
        <v>0</v>
      </c>
      <c r="V20" s="212">
        <f t="shared" si="11"/>
        <v>0</v>
      </c>
      <c r="W20" s="111"/>
      <c r="X20" s="210">
        <f t="shared" si="12"/>
        <v>0</v>
      </c>
      <c r="Y20" s="212">
        <f t="shared" si="13"/>
        <v>0</v>
      </c>
      <c r="Z20" s="100">
        <f>(LARGE((F20,I20,L20),1)+LARGE((O20,R20),1)+LARGE((U20,X20),1))</f>
        <v>0</v>
      </c>
      <c r="AA20" s="101">
        <f t="shared" si="14"/>
      </c>
      <c r="AB20" s="104">
        <f t="shared" si="15"/>
      </c>
      <c r="AC20" s="116">
        <f t="shared" si="16"/>
      </c>
      <c r="AO20" s="165">
        <f t="shared" si="17"/>
        <v>0</v>
      </c>
    </row>
    <row r="21" spans="1:41" s="85" customFormat="1" ht="12.75">
      <c r="A21" s="112"/>
      <c r="B21" s="109"/>
      <c r="C21" s="78"/>
      <c r="D21" s="89"/>
      <c r="E21" s="110"/>
      <c r="F21" s="221">
        <f t="shared" si="0"/>
        <v>0</v>
      </c>
      <c r="G21" s="169">
        <f t="shared" si="1"/>
        <v>0</v>
      </c>
      <c r="H21" s="110"/>
      <c r="I21" s="221">
        <f t="shared" si="2"/>
        <v>0</v>
      </c>
      <c r="J21" s="169">
        <f t="shared" si="3"/>
        <v>0</v>
      </c>
      <c r="K21" s="86"/>
      <c r="L21" s="221">
        <f t="shared" si="4"/>
        <v>0</v>
      </c>
      <c r="M21" s="169">
        <f t="shared" si="5"/>
        <v>0</v>
      </c>
      <c r="N21" s="115"/>
      <c r="O21" s="210">
        <f t="shared" si="6"/>
        <v>0</v>
      </c>
      <c r="P21" s="212">
        <f t="shared" si="7"/>
        <v>0</v>
      </c>
      <c r="Q21" s="111"/>
      <c r="R21" s="210">
        <f t="shared" si="8"/>
        <v>0</v>
      </c>
      <c r="S21" s="212">
        <f t="shared" si="9"/>
        <v>0</v>
      </c>
      <c r="T21" s="111"/>
      <c r="U21" s="210">
        <f t="shared" si="10"/>
        <v>0</v>
      </c>
      <c r="V21" s="212">
        <f t="shared" si="11"/>
        <v>0</v>
      </c>
      <c r="W21" s="111"/>
      <c r="X21" s="210">
        <f t="shared" si="12"/>
        <v>0</v>
      </c>
      <c r="Y21" s="212">
        <f t="shared" si="13"/>
        <v>0</v>
      </c>
      <c r="Z21" s="100">
        <f>(LARGE((F21,I21,L21),1)+LARGE((O21,R21),1)+LARGE((U21,X21),1))</f>
        <v>0</v>
      </c>
      <c r="AA21" s="101">
        <f t="shared" si="14"/>
      </c>
      <c r="AB21" s="104">
        <f t="shared" si="15"/>
      </c>
      <c r="AC21" s="116">
        <f t="shared" si="16"/>
      </c>
      <c r="AO21" s="165">
        <f t="shared" si="17"/>
        <v>0</v>
      </c>
    </row>
    <row r="22" spans="1:41" s="85" customFormat="1" ht="12.75">
      <c r="A22" s="77"/>
      <c r="B22" s="78"/>
      <c r="C22" s="78"/>
      <c r="D22" s="89"/>
      <c r="E22" s="82"/>
      <c r="F22" s="221">
        <f t="shared" si="0"/>
        <v>0</v>
      </c>
      <c r="G22" s="169">
        <f t="shared" si="1"/>
        <v>0</v>
      </c>
      <c r="H22" s="110"/>
      <c r="I22" s="221">
        <f t="shared" si="2"/>
        <v>0</v>
      </c>
      <c r="J22" s="169">
        <f t="shared" si="3"/>
        <v>0</v>
      </c>
      <c r="K22" s="86"/>
      <c r="L22" s="221">
        <f t="shared" si="4"/>
        <v>0</v>
      </c>
      <c r="M22" s="169">
        <f t="shared" si="5"/>
        <v>0</v>
      </c>
      <c r="N22" s="115"/>
      <c r="O22" s="210">
        <f t="shared" si="6"/>
        <v>0</v>
      </c>
      <c r="P22" s="212">
        <f t="shared" si="7"/>
        <v>0</v>
      </c>
      <c r="Q22" s="111"/>
      <c r="R22" s="210">
        <f t="shared" si="8"/>
        <v>0</v>
      </c>
      <c r="S22" s="212">
        <f t="shared" si="9"/>
        <v>0</v>
      </c>
      <c r="T22" s="111"/>
      <c r="U22" s="210">
        <f t="shared" si="10"/>
        <v>0</v>
      </c>
      <c r="V22" s="212">
        <f t="shared" si="11"/>
        <v>0</v>
      </c>
      <c r="W22" s="111"/>
      <c r="X22" s="210">
        <f t="shared" si="12"/>
        <v>0</v>
      </c>
      <c r="Y22" s="212">
        <f t="shared" si="13"/>
        <v>0</v>
      </c>
      <c r="Z22" s="100">
        <f>(LARGE((F22,I22,L22),1)+LARGE((O22,R22),1)+LARGE((U22,X22),1))</f>
        <v>0</v>
      </c>
      <c r="AA22" s="101">
        <f t="shared" si="14"/>
      </c>
      <c r="AB22" s="104">
        <f t="shared" si="15"/>
      </c>
      <c r="AC22" s="116">
        <f t="shared" si="16"/>
      </c>
      <c r="AO22" s="165">
        <f t="shared" si="17"/>
        <v>0</v>
      </c>
    </row>
    <row r="23" spans="1:41" s="85" customFormat="1" ht="12.75">
      <c r="A23" s="77"/>
      <c r="B23" s="78"/>
      <c r="C23" s="78"/>
      <c r="D23" s="89"/>
      <c r="E23" s="82"/>
      <c r="F23" s="221">
        <f t="shared" si="0"/>
        <v>0</v>
      </c>
      <c r="G23" s="169">
        <f t="shared" si="1"/>
        <v>0</v>
      </c>
      <c r="H23" s="110"/>
      <c r="I23" s="221">
        <f t="shared" si="2"/>
        <v>0</v>
      </c>
      <c r="J23" s="169">
        <f t="shared" si="3"/>
        <v>0</v>
      </c>
      <c r="K23" s="86"/>
      <c r="L23" s="221">
        <f t="shared" si="4"/>
        <v>0</v>
      </c>
      <c r="M23" s="169">
        <f t="shared" si="5"/>
        <v>0</v>
      </c>
      <c r="N23" s="115"/>
      <c r="O23" s="210">
        <f t="shared" si="6"/>
        <v>0</v>
      </c>
      <c r="P23" s="212">
        <f t="shared" si="7"/>
        <v>0</v>
      </c>
      <c r="Q23" s="111"/>
      <c r="R23" s="210">
        <f t="shared" si="8"/>
        <v>0</v>
      </c>
      <c r="S23" s="212">
        <f t="shared" si="9"/>
        <v>0</v>
      </c>
      <c r="T23" s="111"/>
      <c r="U23" s="210">
        <f t="shared" si="10"/>
        <v>0</v>
      </c>
      <c r="V23" s="212">
        <f t="shared" si="11"/>
        <v>0</v>
      </c>
      <c r="W23" s="111"/>
      <c r="X23" s="210">
        <f t="shared" si="12"/>
        <v>0</v>
      </c>
      <c r="Y23" s="212">
        <f t="shared" si="13"/>
        <v>0</v>
      </c>
      <c r="Z23" s="100">
        <f>(LARGE((F23,I23,L23),1)+LARGE((O23,R23),1)+LARGE((U23,X23),1))</f>
        <v>0</v>
      </c>
      <c r="AA23" s="101">
        <f t="shared" si="14"/>
      </c>
      <c r="AB23" s="104">
        <f t="shared" si="15"/>
      </c>
      <c r="AC23" s="116">
        <f t="shared" si="16"/>
      </c>
      <c r="AO23" s="165">
        <f t="shared" si="17"/>
        <v>0</v>
      </c>
    </row>
    <row r="24" spans="1:41" s="85" customFormat="1" ht="12.75">
      <c r="A24" s="77"/>
      <c r="B24" s="78"/>
      <c r="C24" s="78"/>
      <c r="D24" s="89"/>
      <c r="E24" s="82"/>
      <c r="F24" s="221">
        <f t="shared" si="0"/>
        <v>0</v>
      </c>
      <c r="G24" s="169">
        <f t="shared" si="1"/>
        <v>0</v>
      </c>
      <c r="H24" s="110"/>
      <c r="I24" s="221">
        <f t="shared" si="2"/>
        <v>0</v>
      </c>
      <c r="J24" s="169">
        <f t="shared" si="3"/>
        <v>0</v>
      </c>
      <c r="K24" s="86"/>
      <c r="L24" s="221">
        <f t="shared" si="4"/>
        <v>0</v>
      </c>
      <c r="M24" s="169">
        <f t="shared" si="5"/>
        <v>0</v>
      </c>
      <c r="N24" s="115"/>
      <c r="O24" s="210">
        <f t="shared" si="6"/>
        <v>0</v>
      </c>
      <c r="P24" s="212">
        <f t="shared" si="7"/>
        <v>0</v>
      </c>
      <c r="Q24" s="111"/>
      <c r="R24" s="210">
        <f t="shared" si="8"/>
        <v>0</v>
      </c>
      <c r="S24" s="212">
        <f t="shared" si="9"/>
        <v>0</v>
      </c>
      <c r="T24" s="111"/>
      <c r="U24" s="210">
        <f t="shared" si="10"/>
        <v>0</v>
      </c>
      <c r="V24" s="212">
        <f t="shared" si="11"/>
        <v>0</v>
      </c>
      <c r="W24" s="111"/>
      <c r="X24" s="210">
        <f t="shared" si="12"/>
        <v>0</v>
      </c>
      <c r="Y24" s="212">
        <f t="shared" si="13"/>
        <v>0</v>
      </c>
      <c r="Z24" s="100">
        <f>(LARGE((F24,I24,L24),1)+LARGE((O24,R24),1)+LARGE((U24,X24),1))</f>
        <v>0</v>
      </c>
      <c r="AA24" s="101">
        <f t="shared" si="14"/>
      </c>
      <c r="AB24" s="104">
        <f t="shared" si="15"/>
      </c>
      <c r="AC24" s="116">
        <f t="shared" si="16"/>
      </c>
      <c r="AO24" s="165">
        <f t="shared" si="17"/>
        <v>0</v>
      </c>
    </row>
    <row r="25" spans="1:41" s="85" customFormat="1" ht="12.75">
      <c r="A25" s="77"/>
      <c r="B25" s="78"/>
      <c r="C25" s="78"/>
      <c r="D25" s="89"/>
      <c r="E25" s="82"/>
      <c r="F25" s="221">
        <f t="shared" si="0"/>
        <v>0</v>
      </c>
      <c r="G25" s="169">
        <f t="shared" si="1"/>
        <v>0</v>
      </c>
      <c r="H25" s="223"/>
      <c r="I25" s="221">
        <f t="shared" si="2"/>
        <v>0</v>
      </c>
      <c r="J25" s="169">
        <f t="shared" si="3"/>
        <v>0</v>
      </c>
      <c r="K25" s="86"/>
      <c r="L25" s="221">
        <f t="shared" si="4"/>
        <v>0</v>
      </c>
      <c r="M25" s="169">
        <f t="shared" si="5"/>
        <v>0</v>
      </c>
      <c r="N25" s="115"/>
      <c r="O25" s="210">
        <f t="shared" si="6"/>
        <v>0</v>
      </c>
      <c r="P25" s="212">
        <f t="shared" si="7"/>
        <v>0</v>
      </c>
      <c r="Q25" s="114"/>
      <c r="R25" s="210">
        <f t="shared" si="8"/>
        <v>0</v>
      </c>
      <c r="S25" s="212">
        <f t="shared" si="9"/>
        <v>0</v>
      </c>
      <c r="T25" s="83"/>
      <c r="U25" s="210">
        <f t="shared" si="10"/>
        <v>0</v>
      </c>
      <c r="V25" s="212">
        <f t="shared" si="11"/>
        <v>0</v>
      </c>
      <c r="W25" s="83"/>
      <c r="X25" s="210">
        <f t="shared" si="12"/>
        <v>0</v>
      </c>
      <c r="Y25" s="212">
        <f t="shared" si="13"/>
        <v>0</v>
      </c>
      <c r="Z25" s="100">
        <f>(LARGE((F25,I25,L25),1)+LARGE((O25,R25),1)+LARGE((U25,X25),1))</f>
        <v>0</v>
      </c>
      <c r="AA25" s="101">
        <f t="shared" si="14"/>
      </c>
      <c r="AB25" s="104">
        <f t="shared" si="15"/>
      </c>
      <c r="AC25" s="116">
        <f t="shared" si="16"/>
      </c>
      <c r="AO25" s="165">
        <f t="shared" si="17"/>
        <v>0</v>
      </c>
    </row>
    <row r="26" spans="1:41" s="85" customFormat="1" ht="12.75">
      <c r="A26" s="77"/>
      <c r="B26" s="78"/>
      <c r="C26" s="78"/>
      <c r="D26" s="89"/>
      <c r="E26" s="82"/>
      <c r="F26" s="221">
        <f t="shared" si="0"/>
        <v>0</v>
      </c>
      <c r="G26" s="169">
        <f t="shared" si="1"/>
        <v>0</v>
      </c>
      <c r="H26" s="223"/>
      <c r="I26" s="221">
        <f t="shared" si="2"/>
        <v>0</v>
      </c>
      <c r="J26" s="169">
        <f t="shared" si="3"/>
        <v>0</v>
      </c>
      <c r="K26" s="86"/>
      <c r="L26" s="221">
        <f t="shared" si="4"/>
        <v>0</v>
      </c>
      <c r="M26" s="169">
        <f t="shared" si="5"/>
        <v>0</v>
      </c>
      <c r="N26" s="115"/>
      <c r="O26" s="210">
        <f t="shared" si="6"/>
        <v>0</v>
      </c>
      <c r="P26" s="212">
        <f t="shared" si="7"/>
        <v>0</v>
      </c>
      <c r="Q26" s="114"/>
      <c r="R26" s="210">
        <f t="shared" si="8"/>
        <v>0</v>
      </c>
      <c r="S26" s="212">
        <f t="shared" si="9"/>
        <v>0</v>
      </c>
      <c r="T26" s="83"/>
      <c r="U26" s="210">
        <f t="shared" si="10"/>
        <v>0</v>
      </c>
      <c r="V26" s="212">
        <f t="shared" si="11"/>
        <v>0</v>
      </c>
      <c r="W26" s="83"/>
      <c r="X26" s="210">
        <f t="shared" si="12"/>
        <v>0</v>
      </c>
      <c r="Y26" s="212">
        <f t="shared" si="13"/>
        <v>0</v>
      </c>
      <c r="Z26" s="100">
        <f>(LARGE((F26,I26,L26),1)+LARGE((O26,R26),1)+LARGE((U26,X26),1))</f>
        <v>0</v>
      </c>
      <c r="AA26" s="101">
        <f t="shared" si="14"/>
      </c>
      <c r="AB26" s="104">
        <f t="shared" si="15"/>
      </c>
      <c r="AC26" s="116">
        <f t="shared" si="16"/>
      </c>
      <c r="AO26" s="165">
        <f t="shared" si="17"/>
        <v>0</v>
      </c>
    </row>
    <row r="27" spans="1:41" s="85" customFormat="1" ht="12.75">
      <c r="A27" s="77"/>
      <c r="B27" s="78"/>
      <c r="C27" s="78"/>
      <c r="D27" s="89"/>
      <c r="E27" s="82"/>
      <c r="F27" s="221">
        <f t="shared" si="0"/>
        <v>0</v>
      </c>
      <c r="G27" s="169">
        <f t="shared" si="1"/>
        <v>0</v>
      </c>
      <c r="H27" s="223"/>
      <c r="I27" s="221">
        <f t="shared" si="2"/>
        <v>0</v>
      </c>
      <c r="J27" s="169">
        <f t="shared" si="3"/>
        <v>0</v>
      </c>
      <c r="K27" s="86"/>
      <c r="L27" s="221">
        <f t="shared" si="4"/>
        <v>0</v>
      </c>
      <c r="M27" s="169">
        <f t="shared" si="5"/>
        <v>0</v>
      </c>
      <c r="N27" s="117"/>
      <c r="O27" s="210">
        <f t="shared" si="6"/>
        <v>0</v>
      </c>
      <c r="P27" s="212">
        <f t="shared" si="7"/>
        <v>0</v>
      </c>
      <c r="Q27" s="114"/>
      <c r="R27" s="210">
        <f t="shared" si="8"/>
        <v>0</v>
      </c>
      <c r="S27" s="212">
        <f t="shared" si="9"/>
        <v>0</v>
      </c>
      <c r="T27" s="83"/>
      <c r="U27" s="210">
        <f t="shared" si="10"/>
        <v>0</v>
      </c>
      <c r="V27" s="212">
        <f t="shared" si="11"/>
        <v>0</v>
      </c>
      <c r="W27" s="83"/>
      <c r="X27" s="210">
        <f t="shared" si="12"/>
        <v>0</v>
      </c>
      <c r="Y27" s="212">
        <f t="shared" si="13"/>
        <v>0</v>
      </c>
      <c r="Z27" s="100">
        <f>(LARGE((F27,I27,L27),1)+LARGE((O27,R27),1)+LARGE((U27,X27),1))</f>
        <v>0</v>
      </c>
      <c r="AA27" s="101">
        <f t="shared" si="14"/>
      </c>
      <c r="AB27" s="104">
        <f t="shared" si="15"/>
      </c>
      <c r="AC27" s="116">
        <f t="shared" si="16"/>
      </c>
      <c r="AO27" s="165">
        <f t="shared" si="17"/>
        <v>0</v>
      </c>
    </row>
    <row r="28" spans="1:41" ht="12.75">
      <c r="A28" s="90"/>
      <c r="B28" s="91"/>
      <c r="C28" s="78"/>
      <c r="D28" s="89"/>
      <c r="E28" s="82"/>
      <c r="F28" s="221">
        <f t="shared" si="0"/>
        <v>0</v>
      </c>
      <c r="G28" s="169">
        <f t="shared" si="1"/>
        <v>0</v>
      </c>
      <c r="H28" s="223"/>
      <c r="I28" s="221">
        <f t="shared" si="2"/>
        <v>0</v>
      </c>
      <c r="J28" s="169">
        <f t="shared" si="3"/>
        <v>0</v>
      </c>
      <c r="K28" s="86"/>
      <c r="L28" s="221">
        <f t="shared" si="4"/>
        <v>0</v>
      </c>
      <c r="M28" s="169">
        <f t="shared" si="5"/>
        <v>0</v>
      </c>
      <c r="N28" s="117"/>
      <c r="O28" s="210">
        <f t="shared" si="6"/>
        <v>0</v>
      </c>
      <c r="P28" s="212">
        <f t="shared" si="7"/>
        <v>0</v>
      </c>
      <c r="Q28" s="114"/>
      <c r="R28" s="210">
        <f t="shared" si="8"/>
        <v>0</v>
      </c>
      <c r="S28" s="212">
        <f t="shared" si="9"/>
        <v>0</v>
      </c>
      <c r="T28" s="83"/>
      <c r="U28" s="210">
        <f t="shared" si="10"/>
        <v>0</v>
      </c>
      <c r="V28" s="212">
        <f t="shared" si="11"/>
        <v>0</v>
      </c>
      <c r="W28" s="83"/>
      <c r="X28" s="210">
        <f t="shared" si="12"/>
        <v>0</v>
      </c>
      <c r="Y28" s="212">
        <f t="shared" si="13"/>
        <v>0</v>
      </c>
      <c r="Z28" s="100">
        <f>(LARGE((F28,I28,L28),1)+LARGE((O28,R28),1)+LARGE((U28,X28),1))</f>
        <v>0</v>
      </c>
      <c r="AA28" s="101">
        <f t="shared" si="14"/>
      </c>
      <c r="AB28" s="104">
        <f t="shared" si="15"/>
      </c>
      <c r="AC28" s="116">
        <f t="shared" si="16"/>
      </c>
      <c r="AO28" s="165">
        <f t="shared" si="17"/>
        <v>0</v>
      </c>
    </row>
    <row r="29" spans="1:41" ht="12.75">
      <c r="A29" s="90"/>
      <c r="B29" s="91"/>
      <c r="C29" s="78"/>
      <c r="D29" s="89"/>
      <c r="E29" s="82"/>
      <c r="F29" s="221">
        <f t="shared" si="0"/>
        <v>0</v>
      </c>
      <c r="G29" s="169">
        <f t="shared" si="1"/>
        <v>0</v>
      </c>
      <c r="H29" s="223"/>
      <c r="I29" s="221">
        <f t="shared" si="2"/>
        <v>0</v>
      </c>
      <c r="J29" s="169">
        <f t="shared" si="3"/>
        <v>0</v>
      </c>
      <c r="K29" s="86"/>
      <c r="L29" s="221">
        <f t="shared" si="4"/>
        <v>0</v>
      </c>
      <c r="M29" s="169">
        <f t="shared" si="5"/>
        <v>0</v>
      </c>
      <c r="N29" s="117"/>
      <c r="O29" s="210">
        <f t="shared" si="6"/>
        <v>0</v>
      </c>
      <c r="P29" s="212">
        <f t="shared" si="7"/>
        <v>0</v>
      </c>
      <c r="Q29" s="114"/>
      <c r="R29" s="210">
        <f t="shared" si="8"/>
        <v>0</v>
      </c>
      <c r="S29" s="212">
        <f t="shared" si="9"/>
        <v>0</v>
      </c>
      <c r="T29" s="83"/>
      <c r="U29" s="210">
        <f t="shared" si="10"/>
        <v>0</v>
      </c>
      <c r="V29" s="212">
        <f t="shared" si="11"/>
        <v>0</v>
      </c>
      <c r="W29" s="83"/>
      <c r="X29" s="210">
        <f t="shared" si="12"/>
        <v>0</v>
      </c>
      <c r="Y29" s="212">
        <f t="shared" si="13"/>
        <v>0</v>
      </c>
      <c r="Z29" s="100">
        <f>(LARGE((F29,I29,L29),1)+LARGE((O29,R29),1)+LARGE((U29,X29),1))</f>
        <v>0</v>
      </c>
      <c r="AA29" s="101">
        <f t="shared" si="14"/>
      </c>
      <c r="AB29" s="104">
        <f t="shared" si="15"/>
      </c>
      <c r="AC29" s="116">
        <f t="shared" si="16"/>
      </c>
      <c r="AO29" s="165">
        <f t="shared" si="17"/>
        <v>0</v>
      </c>
    </row>
    <row r="30" spans="1:41" ht="12.75">
      <c r="A30" s="90"/>
      <c r="B30" s="91"/>
      <c r="C30" s="78"/>
      <c r="D30" s="89"/>
      <c r="E30" s="82"/>
      <c r="F30" s="221">
        <f t="shared" si="0"/>
        <v>0</v>
      </c>
      <c r="G30" s="169">
        <f t="shared" si="1"/>
        <v>0</v>
      </c>
      <c r="H30" s="223"/>
      <c r="I30" s="221">
        <f t="shared" si="2"/>
        <v>0</v>
      </c>
      <c r="J30" s="169">
        <f t="shared" si="3"/>
        <v>0</v>
      </c>
      <c r="K30" s="86"/>
      <c r="L30" s="221">
        <f t="shared" si="4"/>
        <v>0</v>
      </c>
      <c r="M30" s="169">
        <f t="shared" si="5"/>
        <v>0</v>
      </c>
      <c r="N30" s="82"/>
      <c r="O30" s="210">
        <f t="shared" si="6"/>
        <v>0</v>
      </c>
      <c r="P30" s="212">
        <f t="shared" si="7"/>
        <v>0</v>
      </c>
      <c r="Q30" s="114"/>
      <c r="R30" s="210">
        <f t="shared" si="8"/>
        <v>0</v>
      </c>
      <c r="S30" s="212">
        <f t="shared" si="9"/>
        <v>0</v>
      </c>
      <c r="T30" s="83"/>
      <c r="U30" s="210">
        <f t="shared" si="10"/>
        <v>0</v>
      </c>
      <c r="V30" s="212">
        <f t="shared" si="11"/>
        <v>0</v>
      </c>
      <c r="W30" s="83"/>
      <c r="X30" s="210">
        <f t="shared" si="12"/>
        <v>0</v>
      </c>
      <c r="Y30" s="212">
        <f t="shared" si="13"/>
        <v>0</v>
      </c>
      <c r="Z30" s="100">
        <f>(LARGE((F30,I30,L30),1)+LARGE((O30,R30),1)+LARGE((U30,X30),1))</f>
        <v>0</v>
      </c>
      <c r="AA30" s="101">
        <f t="shared" si="14"/>
      </c>
      <c r="AB30" s="104">
        <f t="shared" si="15"/>
      </c>
      <c r="AC30" s="116">
        <f t="shared" si="16"/>
      </c>
      <c r="AO30" s="165">
        <f t="shared" si="17"/>
        <v>0</v>
      </c>
    </row>
    <row r="31" spans="1:41" ht="12.75">
      <c r="A31" s="90"/>
      <c r="B31" s="91"/>
      <c r="C31" s="78"/>
      <c r="D31" s="89"/>
      <c r="E31" s="82"/>
      <c r="F31" s="221">
        <f t="shared" si="0"/>
        <v>0</v>
      </c>
      <c r="G31" s="169">
        <f t="shared" si="1"/>
        <v>0</v>
      </c>
      <c r="H31" s="223"/>
      <c r="I31" s="221">
        <f t="shared" si="2"/>
        <v>0</v>
      </c>
      <c r="J31" s="169">
        <f t="shared" si="3"/>
        <v>0</v>
      </c>
      <c r="K31" s="86"/>
      <c r="L31" s="221">
        <f t="shared" si="4"/>
        <v>0</v>
      </c>
      <c r="M31" s="169">
        <f t="shared" si="5"/>
        <v>0</v>
      </c>
      <c r="N31" s="82"/>
      <c r="O31" s="210">
        <f t="shared" si="6"/>
        <v>0</v>
      </c>
      <c r="P31" s="212">
        <f t="shared" si="7"/>
        <v>0</v>
      </c>
      <c r="Q31" s="114"/>
      <c r="R31" s="210">
        <f t="shared" si="8"/>
        <v>0</v>
      </c>
      <c r="S31" s="212">
        <f t="shared" si="9"/>
        <v>0</v>
      </c>
      <c r="T31" s="83"/>
      <c r="U31" s="210">
        <f t="shared" si="10"/>
        <v>0</v>
      </c>
      <c r="V31" s="212">
        <f t="shared" si="11"/>
        <v>0</v>
      </c>
      <c r="W31" s="83"/>
      <c r="X31" s="210">
        <f t="shared" si="12"/>
        <v>0</v>
      </c>
      <c r="Y31" s="212">
        <f t="shared" si="13"/>
        <v>0</v>
      </c>
      <c r="Z31" s="100">
        <f>(LARGE((F31,I31,L31),1)+LARGE((O31,R31),1)+LARGE((U31,X31),1))</f>
        <v>0</v>
      </c>
      <c r="AA31" s="101">
        <f t="shared" si="14"/>
      </c>
      <c r="AB31" s="104">
        <f t="shared" si="15"/>
      </c>
      <c r="AC31" s="116">
        <f t="shared" si="16"/>
      </c>
      <c r="AO31" s="165">
        <f t="shared" si="17"/>
        <v>0</v>
      </c>
    </row>
    <row r="32" spans="1:41" ht="12.75">
      <c r="A32" s="90"/>
      <c r="B32" s="91"/>
      <c r="C32" s="78"/>
      <c r="D32" s="89"/>
      <c r="E32" s="94"/>
      <c r="F32" s="221">
        <f t="shared" si="0"/>
        <v>0</v>
      </c>
      <c r="G32" s="169">
        <f t="shared" si="1"/>
        <v>0</v>
      </c>
      <c r="H32" s="223"/>
      <c r="I32" s="221">
        <f t="shared" si="2"/>
        <v>0</v>
      </c>
      <c r="J32" s="169">
        <f t="shared" si="3"/>
        <v>0</v>
      </c>
      <c r="K32" s="86"/>
      <c r="L32" s="221">
        <f t="shared" si="4"/>
        <v>0</v>
      </c>
      <c r="M32" s="169">
        <f t="shared" si="5"/>
        <v>0</v>
      </c>
      <c r="N32" s="94"/>
      <c r="O32" s="210">
        <f t="shared" si="6"/>
        <v>0</v>
      </c>
      <c r="P32" s="212">
        <f t="shared" si="7"/>
        <v>0</v>
      </c>
      <c r="Q32" s="114"/>
      <c r="R32" s="210">
        <f t="shared" si="8"/>
        <v>0</v>
      </c>
      <c r="S32" s="212">
        <f t="shared" si="9"/>
        <v>0</v>
      </c>
      <c r="T32" s="94"/>
      <c r="U32" s="210">
        <f t="shared" si="10"/>
        <v>0</v>
      </c>
      <c r="V32" s="212">
        <f t="shared" si="11"/>
        <v>0</v>
      </c>
      <c r="W32" s="94"/>
      <c r="X32" s="210">
        <f t="shared" si="12"/>
        <v>0</v>
      </c>
      <c r="Y32" s="212">
        <f t="shared" si="13"/>
        <v>0</v>
      </c>
      <c r="Z32" s="100">
        <f>(LARGE((F32,I32,L32),1)+LARGE((O32,R32),1)+LARGE((U32,X32),1))</f>
        <v>0</v>
      </c>
      <c r="AA32" s="101">
        <f t="shared" si="14"/>
      </c>
      <c r="AB32" s="104">
        <f t="shared" si="15"/>
      </c>
      <c r="AC32" s="116">
        <f t="shared" si="16"/>
      </c>
      <c r="AO32" s="165">
        <f t="shared" si="17"/>
        <v>0</v>
      </c>
    </row>
    <row r="33" spans="1:41" ht="12.75">
      <c r="A33" s="90"/>
      <c r="B33" s="91"/>
      <c r="C33" s="78"/>
      <c r="D33" s="89"/>
      <c r="E33" s="94"/>
      <c r="F33" s="221">
        <f t="shared" si="0"/>
        <v>0</v>
      </c>
      <c r="G33" s="169">
        <f t="shared" si="1"/>
        <v>0</v>
      </c>
      <c r="H33" s="223"/>
      <c r="I33" s="221">
        <f t="shared" si="2"/>
        <v>0</v>
      </c>
      <c r="J33" s="169">
        <f t="shared" si="3"/>
        <v>0</v>
      </c>
      <c r="K33" s="86"/>
      <c r="L33" s="221">
        <f t="shared" si="4"/>
        <v>0</v>
      </c>
      <c r="M33" s="169">
        <f t="shared" si="5"/>
        <v>0</v>
      </c>
      <c r="N33" s="94"/>
      <c r="O33" s="210">
        <f t="shared" si="6"/>
        <v>0</v>
      </c>
      <c r="P33" s="212">
        <f t="shared" si="7"/>
        <v>0</v>
      </c>
      <c r="Q33" s="114"/>
      <c r="R33" s="210">
        <f t="shared" si="8"/>
        <v>0</v>
      </c>
      <c r="S33" s="212">
        <f t="shared" si="9"/>
        <v>0</v>
      </c>
      <c r="T33" s="94"/>
      <c r="U33" s="210">
        <f t="shared" si="10"/>
        <v>0</v>
      </c>
      <c r="V33" s="212">
        <f t="shared" si="11"/>
        <v>0</v>
      </c>
      <c r="W33" s="94"/>
      <c r="X33" s="210">
        <f t="shared" si="12"/>
        <v>0</v>
      </c>
      <c r="Y33" s="212">
        <f t="shared" si="13"/>
        <v>0</v>
      </c>
      <c r="Z33" s="100">
        <f>(LARGE((F33,I33,L33),1)+LARGE((O33,R33),1)+LARGE((U33,X33),1))</f>
        <v>0</v>
      </c>
      <c r="AA33" s="101">
        <f t="shared" si="14"/>
      </c>
      <c r="AB33" s="104">
        <f t="shared" si="15"/>
      </c>
      <c r="AC33" s="116">
        <f t="shared" si="16"/>
      </c>
      <c r="AO33" s="165">
        <f t="shared" si="17"/>
        <v>0</v>
      </c>
    </row>
    <row r="34" spans="1:41" ht="12.75">
      <c r="A34" s="90"/>
      <c r="B34" s="91"/>
      <c r="C34" s="78"/>
      <c r="D34" s="89"/>
      <c r="E34" s="94"/>
      <c r="F34" s="221">
        <f t="shared" si="0"/>
        <v>0</v>
      </c>
      <c r="G34" s="169">
        <f t="shared" si="1"/>
        <v>0</v>
      </c>
      <c r="H34" s="223"/>
      <c r="I34" s="221">
        <f t="shared" si="2"/>
        <v>0</v>
      </c>
      <c r="J34" s="169">
        <f t="shared" si="3"/>
        <v>0</v>
      </c>
      <c r="K34" s="86"/>
      <c r="L34" s="221">
        <f t="shared" si="4"/>
        <v>0</v>
      </c>
      <c r="M34" s="169">
        <f t="shared" si="5"/>
        <v>0</v>
      </c>
      <c r="N34" s="94"/>
      <c r="O34" s="210">
        <f t="shared" si="6"/>
        <v>0</v>
      </c>
      <c r="P34" s="212">
        <f t="shared" si="7"/>
        <v>0</v>
      </c>
      <c r="Q34" s="114"/>
      <c r="R34" s="210">
        <f t="shared" si="8"/>
        <v>0</v>
      </c>
      <c r="S34" s="212">
        <f t="shared" si="9"/>
        <v>0</v>
      </c>
      <c r="T34" s="94"/>
      <c r="U34" s="210">
        <f t="shared" si="10"/>
        <v>0</v>
      </c>
      <c r="V34" s="212">
        <f t="shared" si="11"/>
        <v>0</v>
      </c>
      <c r="W34" s="94"/>
      <c r="X34" s="210">
        <f t="shared" si="12"/>
        <v>0</v>
      </c>
      <c r="Y34" s="212">
        <f t="shared" si="13"/>
        <v>0</v>
      </c>
      <c r="Z34" s="100">
        <f>(LARGE((F34,I34,L34),1)+LARGE((O34,R34),1)+LARGE((U34,X34),1))</f>
        <v>0</v>
      </c>
      <c r="AA34" s="101">
        <f t="shared" si="14"/>
      </c>
      <c r="AB34" s="104">
        <f t="shared" si="15"/>
      </c>
      <c r="AC34" s="116">
        <f t="shared" si="16"/>
      </c>
      <c r="AO34" s="165">
        <f t="shared" si="17"/>
        <v>0</v>
      </c>
    </row>
    <row r="35" spans="1:41" ht="12.75">
      <c r="A35" s="90"/>
      <c r="B35" s="91"/>
      <c r="C35" s="78"/>
      <c r="D35" s="89"/>
      <c r="E35" s="94"/>
      <c r="F35" s="221">
        <f t="shared" si="0"/>
        <v>0</v>
      </c>
      <c r="G35" s="169">
        <f t="shared" si="1"/>
        <v>0</v>
      </c>
      <c r="H35" s="223"/>
      <c r="I35" s="221">
        <f t="shared" si="2"/>
        <v>0</v>
      </c>
      <c r="J35" s="169">
        <f t="shared" si="3"/>
        <v>0</v>
      </c>
      <c r="K35" s="86"/>
      <c r="L35" s="221">
        <f t="shared" si="4"/>
        <v>0</v>
      </c>
      <c r="M35" s="169">
        <f t="shared" si="5"/>
        <v>0</v>
      </c>
      <c r="N35" s="94"/>
      <c r="O35" s="210">
        <f t="shared" si="6"/>
        <v>0</v>
      </c>
      <c r="P35" s="212">
        <f t="shared" si="7"/>
        <v>0</v>
      </c>
      <c r="Q35" s="114"/>
      <c r="R35" s="210">
        <f t="shared" si="8"/>
        <v>0</v>
      </c>
      <c r="S35" s="212">
        <f t="shared" si="9"/>
        <v>0</v>
      </c>
      <c r="T35" s="94"/>
      <c r="U35" s="210">
        <f t="shared" si="10"/>
        <v>0</v>
      </c>
      <c r="V35" s="212">
        <f t="shared" si="11"/>
        <v>0</v>
      </c>
      <c r="W35" s="94"/>
      <c r="X35" s="210">
        <f t="shared" si="12"/>
        <v>0</v>
      </c>
      <c r="Y35" s="212">
        <f t="shared" si="13"/>
        <v>0</v>
      </c>
      <c r="Z35" s="100">
        <f>(LARGE((F35,I35,L35),1)+LARGE((O35,R35),1)+LARGE((U35,X35),1))</f>
        <v>0</v>
      </c>
      <c r="AA35" s="101">
        <f t="shared" si="14"/>
      </c>
      <c r="AB35" s="104">
        <f t="shared" si="15"/>
      </c>
      <c r="AC35" s="116">
        <f>IF(Z35&lt;15,"",HLOOKUP(Z35,T_U13G_3_Events,5))</f>
      </c>
      <c r="AO35" s="165">
        <f>IF(D35="C",Z35,0)</f>
        <v>0</v>
      </c>
    </row>
    <row r="36" spans="1:41" ht="12.75">
      <c r="A36" s="90"/>
      <c r="B36" s="91"/>
      <c r="C36" s="78"/>
      <c r="D36" s="89"/>
      <c r="E36" s="94"/>
      <c r="F36" s="221">
        <f t="shared" si="0"/>
        <v>0</v>
      </c>
      <c r="G36" s="169">
        <f t="shared" si="1"/>
        <v>0</v>
      </c>
      <c r="H36" s="223"/>
      <c r="I36" s="221">
        <f t="shared" si="2"/>
        <v>0</v>
      </c>
      <c r="J36" s="169">
        <f t="shared" si="3"/>
        <v>0</v>
      </c>
      <c r="K36" s="86"/>
      <c r="L36" s="221">
        <f t="shared" si="4"/>
        <v>0</v>
      </c>
      <c r="M36" s="169">
        <f t="shared" si="5"/>
        <v>0</v>
      </c>
      <c r="N36" s="94"/>
      <c r="O36" s="210">
        <f t="shared" si="6"/>
        <v>0</v>
      </c>
      <c r="P36" s="212">
        <f t="shared" si="7"/>
        <v>0</v>
      </c>
      <c r="Q36" s="114"/>
      <c r="R36" s="210">
        <f t="shared" si="8"/>
        <v>0</v>
      </c>
      <c r="S36" s="212">
        <f t="shared" si="9"/>
        <v>0</v>
      </c>
      <c r="T36" s="94"/>
      <c r="U36" s="210">
        <f t="shared" si="10"/>
        <v>0</v>
      </c>
      <c r="V36" s="212">
        <f t="shared" si="11"/>
        <v>0</v>
      </c>
      <c r="W36" s="94"/>
      <c r="X36" s="210">
        <f t="shared" si="12"/>
        <v>0</v>
      </c>
      <c r="Y36" s="212">
        <f t="shared" si="13"/>
        <v>0</v>
      </c>
      <c r="Z36" s="100">
        <f>(LARGE((F36,I36,L36),1)+LARGE((O36,R36),1)+LARGE((U36,X36),1))</f>
        <v>0</v>
      </c>
      <c r="AA36" s="101">
        <f t="shared" si="14"/>
      </c>
      <c r="AB36" s="104">
        <f t="shared" si="15"/>
      </c>
      <c r="AC36" s="116">
        <f>IF(Z36&lt;15,"",HLOOKUP(Z36,T_U13G_3_Events,5))</f>
      </c>
      <c r="AO36" s="165">
        <f>IF(D36="C",Z36,0)</f>
        <v>0</v>
      </c>
    </row>
    <row r="37" spans="1:41" ht="12.75">
      <c r="A37" s="90"/>
      <c r="B37" s="91"/>
      <c r="C37" s="78"/>
      <c r="D37" s="89"/>
      <c r="E37" s="94"/>
      <c r="F37" s="221">
        <f t="shared" si="0"/>
        <v>0</v>
      </c>
      <c r="G37" s="169">
        <f t="shared" si="1"/>
        <v>0</v>
      </c>
      <c r="H37" s="223"/>
      <c r="I37" s="221">
        <f t="shared" si="2"/>
        <v>0</v>
      </c>
      <c r="J37" s="169">
        <f t="shared" si="3"/>
        <v>0</v>
      </c>
      <c r="K37" s="86"/>
      <c r="L37" s="221">
        <f t="shared" si="4"/>
        <v>0</v>
      </c>
      <c r="M37" s="169">
        <f t="shared" si="5"/>
        <v>0</v>
      </c>
      <c r="N37" s="94"/>
      <c r="O37" s="210">
        <f t="shared" si="6"/>
        <v>0</v>
      </c>
      <c r="P37" s="212">
        <f t="shared" si="7"/>
        <v>0</v>
      </c>
      <c r="Q37" s="114"/>
      <c r="R37" s="210">
        <f t="shared" si="8"/>
        <v>0</v>
      </c>
      <c r="S37" s="212">
        <f t="shared" si="9"/>
        <v>0</v>
      </c>
      <c r="T37" s="94"/>
      <c r="U37" s="210">
        <f t="shared" si="10"/>
        <v>0</v>
      </c>
      <c r="V37" s="212">
        <f t="shared" si="11"/>
        <v>0</v>
      </c>
      <c r="W37" s="94"/>
      <c r="X37" s="210">
        <f t="shared" si="12"/>
        <v>0</v>
      </c>
      <c r="Y37" s="212">
        <f t="shared" si="13"/>
        <v>0</v>
      </c>
      <c r="Z37" s="100">
        <f>(LARGE((F37,I37,L37),1)+LARGE((O37,R37),1)+LARGE((U37,X37),1))</f>
        <v>0</v>
      </c>
      <c r="AA37" s="101">
        <f t="shared" si="14"/>
      </c>
      <c r="AB37" s="104">
        <f t="shared" si="15"/>
      </c>
      <c r="AC37" s="116">
        <f t="shared" si="16"/>
      </c>
      <c r="AO37" s="165">
        <f t="shared" si="17"/>
        <v>0</v>
      </c>
    </row>
    <row r="38" spans="1:41" ht="12.75">
      <c r="A38" s="90"/>
      <c r="B38" s="91"/>
      <c r="C38" s="78"/>
      <c r="D38" s="89"/>
      <c r="E38" s="94"/>
      <c r="F38" s="221">
        <f t="shared" si="0"/>
        <v>0</v>
      </c>
      <c r="G38" s="169">
        <f t="shared" si="1"/>
        <v>0</v>
      </c>
      <c r="H38" s="223"/>
      <c r="I38" s="221">
        <f t="shared" si="2"/>
        <v>0</v>
      </c>
      <c r="J38" s="169">
        <f t="shared" si="3"/>
        <v>0</v>
      </c>
      <c r="K38" s="86"/>
      <c r="L38" s="221">
        <f t="shared" si="4"/>
        <v>0</v>
      </c>
      <c r="M38" s="169">
        <f t="shared" si="5"/>
        <v>0</v>
      </c>
      <c r="N38" s="94"/>
      <c r="O38" s="210">
        <f t="shared" si="6"/>
        <v>0</v>
      </c>
      <c r="P38" s="212">
        <f t="shared" si="7"/>
        <v>0</v>
      </c>
      <c r="Q38" s="114"/>
      <c r="R38" s="210">
        <f t="shared" si="8"/>
        <v>0</v>
      </c>
      <c r="S38" s="212">
        <f t="shared" si="9"/>
        <v>0</v>
      </c>
      <c r="T38" s="94"/>
      <c r="U38" s="210">
        <f t="shared" si="10"/>
        <v>0</v>
      </c>
      <c r="V38" s="212">
        <f t="shared" si="11"/>
        <v>0</v>
      </c>
      <c r="W38" s="94"/>
      <c r="X38" s="210">
        <f t="shared" si="12"/>
        <v>0</v>
      </c>
      <c r="Y38" s="212">
        <f t="shared" si="13"/>
        <v>0</v>
      </c>
      <c r="Z38" s="100">
        <f>(LARGE((F38,I38,L38),1)+LARGE((O38,R38),1)+LARGE((U38,X38),1))</f>
        <v>0</v>
      </c>
      <c r="AA38" s="101">
        <f t="shared" si="14"/>
      </c>
      <c r="AB38" s="104">
        <f t="shared" si="15"/>
      </c>
      <c r="AC38" s="116">
        <f t="shared" si="16"/>
      </c>
      <c r="AO38" s="165">
        <f t="shared" si="17"/>
        <v>0</v>
      </c>
    </row>
    <row r="39" spans="1:41" ht="12.75">
      <c r="A39" s="90"/>
      <c r="B39" s="91"/>
      <c r="C39" s="78"/>
      <c r="D39" s="89"/>
      <c r="E39" s="94"/>
      <c r="F39" s="221">
        <f t="shared" si="0"/>
        <v>0</v>
      </c>
      <c r="G39" s="169">
        <f t="shared" si="1"/>
        <v>0</v>
      </c>
      <c r="H39" s="223"/>
      <c r="I39" s="221">
        <f t="shared" si="2"/>
        <v>0</v>
      </c>
      <c r="J39" s="169">
        <f t="shared" si="3"/>
        <v>0</v>
      </c>
      <c r="K39" s="86"/>
      <c r="L39" s="221">
        <f t="shared" si="4"/>
        <v>0</v>
      </c>
      <c r="M39" s="169">
        <f t="shared" si="5"/>
        <v>0</v>
      </c>
      <c r="N39" s="94"/>
      <c r="O39" s="210">
        <f t="shared" si="6"/>
        <v>0</v>
      </c>
      <c r="P39" s="212">
        <f t="shared" si="7"/>
        <v>0</v>
      </c>
      <c r="Q39" s="114"/>
      <c r="R39" s="210">
        <f t="shared" si="8"/>
        <v>0</v>
      </c>
      <c r="S39" s="212">
        <f t="shared" si="9"/>
        <v>0</v>
      </c>
      <c r="T39" s="94"/>
      <c r="U39" s="210">
        <f t="shared" si="10"/>
        <v>0</v>
      </c>
      <c r="V39" s="212">
        <f t="shared" si="11"/>
        <v>0</v>
      </c>
      <c r="W39" s="94"/>
      <c r="X39" s="210">
        <f t="shared" si="12"/>
        <v>0</v>
      </c>
      <c r="Y39" s="212">
        <f t="shared" si="13"/>
        <v>0</v>
      </c>
      <c r="Z39" s="100">
        <f>(LARGE((F39,I39,L39),1)+LARGE((O39,R39),1)+LARGE((U39,X39),1))</f>
        <v>0</v>
      </c>
      <c r="AA39" s="101">
        <f t="shared" si="14"/>
      </c>
      <c r="AB39" s="104">
        <f t="shared" si="15"/>
      </c>
      <c r="AC39" s="116">
        <f t="shared" si="16"/>
      </c>
      <c r="AO39" s="165">
        <f t="shared" si="17"/>
        <v>0</v>
      </c>
    </row>
    <row r="40" spans="1:41" ht="12.75">
      <c r="A40" s="90"/>
      <c r="B40" s="91"/>
      <c r="C40" s="78"/>
      <c r="D40" s="89"/>
      <c r="E40" s="94"/>
      <c r="F40" s="221">
        <f t="shared" si="0"/>
        <v>0</v>
      </c>
      <c r="G40" s="169">
        <f t="shared" si="1"/>
        <v>0</v>
      </c>
      <c r="H40" s="223"/>
      <c r="I40" s="221">
        <f t="shared" si="2"/>
        <v>0</v>
      </c>
      <c r="J40" s="169">
        <f t="shared" si="3"/>
        <v>0</v>
      </c>
      <c r="K40" s="86"/>
      <c r="L40" s="221">
        <f t="shared" si="4"/>
        <v>0</v>
      </c>
      <c r="M40" s="169">
        <f t="shared" si="5"/>
        <v>0</v>
      </c>
      <c r="N40" s="94"/>
      <c r="O40" s="210">
        <f t="shared" si="6"/>
        <v>0</v>
      </c>
      <c r="P40" s="212">
        <f t="shared" si="7"/>
        <v>0</v>
      </c>
      <c r="Q40" s="114"/>
      <c r="R40" s="210">
        <f t="shared" si="8"/>
        <v>0</v>
      </c>
      <c r="S40" s="212">
        <f t="shared" si="9"/>
        <v>0</v>
      </c>
      <c r="T40" s="94"/>
      <c r="U40" s="210">
        <f>IF(T40="NT",0,IF(T40&lt;2,0,VLOOKUP(T40,T_Shot,8,TRUE)))</f>
        <v>0</v>
      </c>
      <c r="V40" s="212">
        <f t="shared" si="11"/>
        <v>0</v>
      </c>
      <c r="W40" s="94"/>
      <c r="X40" s="210">
        <f>IF(W40="NT",0,IF(W40&lt;4,0,VLOOKUP(W40,T_Javlin,6,TRUE)))</f>
        <v>0</v>
      </c>
      <c r="Y40" s="212">
        <f t="shared" si="13"/>
        <v>0</v>
      </c>
      <c r="Z40" s="100">
        <f>(LARGE((F40,I40,L40),1)+LARGE((O40,R40),1)+LARGE((U40,X40),1))</f>
        <v>0</v>
      </c>
      <c r="AA40" s="101">
        <f t="shared" si="14"/>
      </c>
      <c r="AB40" s="104">
        <f t="shared" si="15"/>
      </c>
      <c r="AC40" s="116">
        <f>IF(Z40&lt;15,"",HLOOKUP(Z40,T_U13G_3_Events,5))</f>
      </c>
      <c r="AO40" s="165">
        <f t="shared" si="17"/>
        <v>0</v>
      </c>
    </row>
    <row r="41" spans="1:41" ht="12.75">
      <c r="A41" s="90"/>
      <c r="B41" s="91"/>
      <c r="C41" s="78"/>
      <c r="D41" s="89"/>
      <c r="E41" s="94"/>
      <c r="F41" s="221">
        <f t="shared" si="0"/>
        <v>0</v>
      </c>
      <c r="G41" s="215">
        <f t="shared" si="1"/>
        <v>0</v>
      </c>
      <c r="H41" s="223"/>
      <c r="I41" s="221">
        <f t="shared" si="2"/>
        <v>0</v>
      </c>
      <c r="J41" s="215">
        <f t="shared" si="3"/>
        <v>0</v>
      </c>
      <c r="K41" s="86"/>
      <c r="L41" s="221">
        <f t="shared" si="4"/>
        <v>0</v>
      </c>
      <c r="M41" s="169">
        <f t="shared" si="5"/>
        <v>0</v>
      </c>
      <c r="N41" s="94"/>
      <c r="O41" s="210">
        <f t="shared" si="6"/>
        <v>0</v>
      </c>
      <c r="P41" s="213">
        <f t="shared" si="7"/>
        <v>0</v>
      </c>
      <c r="Q41" s="114"/>
      <c r="R41" s="210">
        <f t="shared" si="8"/>
        <v>0</v>
      </c>
      <c r="S41" s="212">
        <f t="shared" si="9"/>
        <v>0</v>
      </c>
      <c r="T41" s="94"/>
      <c r="U41" s="210">
        <f>IF(T41="NT",0,IF(T41&lt;2,0,VLOOKUP(T41,T_Shot,8,TRUE)))</f>
        <v>0</v>
      </c>
      <c r="V41" s="213">
        <f t="shared" si="11"/>
        <v>0</v>
      </c>
      <c r="W41" s="94"/>
      <c r="X41" s="210">
        <f>IF(W41="NT",0,IF(W41&lt;4,0,VLOOKUP(W41,T_Javlin,6,TRUE)))</f>
        <v>0</v>
      </c>
      <c r="Y41" s="213">
        <f t="shared" si="13"/>
        <v>0</v>
      </c>
      <c r="Z41" s="100">
        <f>(LARGE((F41,I41,L41),1)+LARGE((O41,R41),1)+LARGE((U41,X41),1))</f>
        <v>0</v>
      </c>
      <c r="AA41" s="101">
        <f t="shared" si="14"/>
      </c>
      <c r="AB41" s="104">
        <f t="shared" si="15"/>
      </c>
      <c r="AC41" s="116">
        <f>IF(Z41&lt;15,"",HLOOKUP(Z41,T_U13G_3_Events,5))</f>
      </c>
      <c r="AO41" s="165">
        <f t="shared" si="17"/>
        <v>0</v>
      </c>
    </row>
    <row r="42" spans="1:29" ht="12.75">
      <c r="A42" s="96"/>
      <c r="B42" s="96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</sheetData>
  <sheetProtection sheet="1" objects="1" scenarios="1"/>
  <mergeCells count="2">
    <mergeCell ref="A1:AC1"/>
    <mergeCell ref="I2:P2"/>
  </mergeCells>
  <dataValidations count="2">
    <dataValidation type="list" allowBlank="1" showInputMessage="1" showErrorMessage="1" sqref="C7:C41">
      <formula1>Clubs</formula1>
    </dataValidation>
    <dataValidation type="list" allowBlank="1" showInputMessage="1" showErrorMessage="1" sqref="D7:D41">
      <formula1>CO</formula1>
    </dataValidation>
  </dataValidations>
  <printOptions horizontalCentered="1"/>
  <pageMargins left="0.42" right="0.41" top="0.51" bottom="0.984251968503937" header="0.5118110236220472" footer="0.5118110236220472"/>
  <pageSetup fitToHeight="3" fitToWidth="1" horizontalDpi="600" verticalDpi="600" orientation="landscape" paperSize="9" scale="78" r:id="rId1"/>
  <headerFooter alignWithMargins="0">
    <oddFooter>&amp;L&amp;8Point Scores in accordance with AAAE 5 Star Award Scheme 2000
AAA Grade Tables 2007/2008&amp;R&amp;8NT = No Throw
NJ = No Jump
DNF = Did Not Finish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AG36"/>
  <sheetViews>
    <sheetView showZeros="0" zoomScalePageLayoutView="0" workbookViewId="0" topLeftCell="A1">
      <selection activeCell="H2" sqref="H2:L2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5.7109375" style="0" bestFit="1" customWidth="1"/>
    <col min="4" max="4" width="3.28125" style="55" customWidth="1"/>
    <col min="5" max="5" width="7.8515625" style="10" customWidth="1"/>
    <col min="6" max="6" width="6.57421875" style="10" bestFit="1" customWidth="1"/>
    <col min="7" max="7" width="3.421875" style="55" bestFit="1" customWidth="1"/>
    <col min="8" max="8" width="7.140625" style="10" customWidth="1"/>
    <col min="9" max="9" width="7.28125" style="10" customWidth="1"/>
    <col min="10" max="10" width="3.421875" style="55" bestFit="1" customWidth="1"/>
    <col min="11" max="11" width="7.421875" style="10" customWidth="1"/>
    <col min="12" max="12" width="6.57421875" style="10" bestFit="1" customWidth="1"/>
    <col min="13" max="13" width="3.421875" style="55" bestFit="1" customWidth="1"/>
    <col min="14" max="14" width="7.421875" style="10" customWidth="1"/>
    <col min="15" max="15" width="6.57421875" style="10" bestFit="1" customWidth="1"/>
    <col min="16" max="16" width="3.421875" style="55" bestFit="1" customWidth="1"/>
    <col min="17" max="17" width="6.00390625" style="10" customWidth="1"/>
    <col min="18" max="18" width="6.57421875" style="10" bestFit="1" customWidth="1"/>
    <col min="19" max="19" width="3.421875" style="55" bestFit="1" customWidth="1"/>
    <col min="20" max="20" width="8.421875" style="10" bestFit="1" customWidth="1"/>
    <col min="21" max="21" width="7.28125" style="10" customWidth="1"/>
    <col min="22" max="22" width="8.7109375" style="10" bestFit="1" customWidth="1"/>
    <col min="23" max="23" width="9.140625" style="10" hidden="1" customWidth="1"/>
    <col min="24" max="24" width="9.8515625" style="0" customWidth="1"/>
    <col min="33" max="33" width="0" style="0" hidden="1" customWidth="1"/>
  </cols>
  <sheetData>
    <row r="1" spans="1:27" ht="15.75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23"/>
      <c r="X1" s="123"/>
      <c r="Y1" s="123"/>
      <c r="Z1" s="123"/>
      <c r="AA1" s="123"/>
    </row>
    <row r="2" spans="1:27" ht="12.75">
      <c r="A2" s="60"/>
      <c r="B2" s="52"/>
      <c r="C2" s="52"/>
      <c r="D2" s="53"/>
      <c r="E2" s="54"/>
      <c r="F2" s="54"/>
      <c r="G2" s="54"/>
      <c r="H2" s="239" t="s">
        <v>68</v>
      </c>
      <c r="I2" s="239"/>
      <c r="J2" s="239"/>
      <c r="K2" s="239"/>
      <c r="L2" s="239"/>
      <c r="M2" s="216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106"/>
      <c r="AA3" s="53"/>
    </row>
    <row r="4" spans="1:27" ht="12.75">
      <c r="A4" s="59" t="s">
        <v>64</v>
      </c>
      <c r="B4" s="59"/>
      <c r="C4" s="60" t="str">
        <f>ArrangedBy</f>
        <v>Handforth W A A C</v>
      </c>
      <c r="D4" s="54"/>
      <c r="E4" s="55"/>
      <c r="F4" s="55"/>
      <c r="H4" s="61" t="s">
        <v>62</v>
      </c>
      <c r="I4" s="62"/>
      <c r="K4" s="63" t="s">
        <v>60</v>
      </c>
      <c r="L4" s="55"/>
      <c r="N4" s="55"/>
      <c r="O4" s="54"/>
      <c r="Q4" s="54"/>
      <c r="R4" s="62" t="s">
        <v>87</v>
      </c>
      <c r="T4" s="63" t="str">
        <f>Date</f>
        <v>3rd July 2008</v>
      </c>
      <c r="U4" s="63"/>
      <c r="V4" s="63"/>
      <c r="W4" s="54"/>
      <c r="X4" s="63"/>
      <c r="Y4" s="63"/>
      <c r="Z4" s="54"/>
      <c r="AA4" s="55"/>
    </row>
    <row r="5" spans="1:27" ht="12.75">
      <c r="A5" s="59" t="s">
        <v>65</v>
      </c>
      <c r="B5" s="59"/>
      <c r="C5" s="60">
        <f>Sponsor</f>
        <v>0</v>
      </c>
      <c r="D5" s="54"/>
      <c r="E5" s="55"/>
      <c r="F5" s="55"/>
      <c r="H5" s="61" t="s">
        <v>63</v>
      </c>
      <c r="I5" s="62"/>
      <c r="K5" s="63" t="s">
        <v>61</v>
      </c>
      <c r="L5" s="55"/>
      <c r="N5" s="55"/>
      <c r="O5" s="54"/>
      <c r="Q5" s="54"/>
      <c r="R5" s="54"/>
      <c r="T5" s="54"/>
      <c r="U5" s="54"/>
      <c r="V5" s="54"/>
      <c r="W5" s="54"/>
      <c r="X5" s="54"/>
      <c r="Y5" s="54"/>
      <c r="Z5" s="54"/>
      <c r="AA5" s="54"/>
    </row>
    <row r="6" spans="1:33" s="24" customFormat="1" ht="38.25">
      <c r="A6" s="35" t="s">
        <v>0</v>
      </c>
      <c r="B6" s="36" t="s">
        <v>1</v>
      </c>
      <c r="C6" s="36" t="s">
        <v>2</v>
      </c>
      <c r="D6" s="66" t="s">
        <v>89</v>
      </c>
      <c r="E6" s="38" t="s">
        <v>67</v>
      </c>
      <c r="F6" s="217" t="s">
        <v>11</v>
      </c>
      <c r="G6" s="208" t="s">
        <v>208</v>
      </c>
      <c r="H6" s="37" t="s">
        <v>4</v>
      </c>
      <c r="I6" s="217" t="s">
        <v>11</v>
      </c>
      <c r="J6" s="208" t="s">
        <v>208</v>
      </c>
      <c r="K6" s="39" t="s">
        <v>50</v>
      </c>
      <c r="L6" s="218" t="s">
        <v>11</v>
      </c>
      <c r="M6" s="211" t="s">
        <v>208</v>
      </c>
      <c r="N6" s="39" t="s">
        <v>52</v>
      </c>
      <c r="O6" s="218" t="s">
        <v>11</v>
      </c>
      <c r="P6" s="211" t="s">
        <v>208</v>
      </c>
      <c r="Q6" s="40" t="s">
        <v>22</v>
      </c>
      <c r="R6" s="218" t="s">
        <v>11</v>
      </c>
      <c r="S6" s="211" t="s">
        <v>208</v>
      </c>
      <c r="T6" s="41" t="s">
        <v>69</v>
      </c>
      <c r="U6" s="66" t="s">
        <v>129</v>
      </c>
      <c r="V6" s="73" t="s">
        <v>130</v>
      </c>
      <c r="W6" s="42" t="s">
        <v>38</v>
      </c>
      <c r="X6" s="23"/>
      <c r="Y6" s="219"/>
      <c r="Z6" s="23"/>
      <c r="AA6" s="23"/>
      <c r="AB6" s="23"/>
      <c r="AC6" s="23"/>
      <c r="AD6" s="23"/>
      <c r="AG6" s="164" t="s">
        <v>93</v>
      </c>
    </row>
    <row r="7" spans="1:33" s="1" customFormat="1" ht="12.75">
      <c r="A7" s="28">
        <v>111</v>
      </c>
      <c r="B7" s="29" t="s">
        <v>157</v>
      </c>
      <c r="C7" s="32" t="s">
        <v>76</v>
      </c>
      <c r="D7" s="89" t="s">
        <v>92</v>
      </c>
      <c r="E7" s="25">
        <v>15.9</v>
      </c>
      <c r="F7" s="214">
        <f aca="true" t="shared" si="0" ref="F7:F35">IF(E7="DNF",0,IF(E7=0,0,ROUNDDOWN(INDEX(ESAA_U13B_80mH,1,3)*(INDEX(ESAA_U13B_80mH,1,4)-E7-0.24)^INDEX(ESAA_U13B_80mH,1,5),0)))</f>
        <v>325</v>
      </c>
      <c r="G7" s="169">
        <f aca="true" t="shared" si="1" ref="G7:G35">IF(F7=0,0,IF(E7&lt;=INDEX(AAA_U15B_80mH,1,1),"G1",IF(E7&lt;=INDEX(AAA_U15B_80mH,1,2),"G2",IF(E7&lt;=INDEX(AAA_U15B_80mH,1,3),"G3",IF(E7&lt;=INDEX(AAA_U15B_80mH,1,4),"G4",0)))))</f>
        <v>0</v>
      </c>
      <c r="H7" s="224">
        <v>0.0017476851851851852</v>
      </c>
      <c r="I7" s="214">
        <f aca="true" t="shared" si="2" ref="I7:I35">IF(H7="DNF",0,IF(H7=0,0,ROUNDDOWN(INDEX(ESAA_U17M_800m,1,3)*(INDEX(ESAA_U17M_800m,1,4)-H7*24*60*60)^INDEX(ESAA_U17M_800m,1,5),0)))</f>
        <v>310</v>
      </c>
      <c r="J7" s="169">
        <f aca="true" t="shared" si="3" ref="J7:J35">IF(I7=0,0,IF(H7&lt;=INDEX(AAA_U15B_800m,1,1),"G1",IF(H7&lt;=INDEX(AAA_U15B_800m,1,2),"G2",IF(H7&lt;=INDEX(AAA_U15B_800m,1,3),"G3",IF(H7&lt;=INDEX(AAA_U15B_800m,1,4),"G4",0)))))</f>
        <v>0</v>
      </c>
      <c r="K7" s="26">
        <v>4.41</v>
      </c>
      <c r="L7" s="210">
        <f aca="true" t="shared" si="4" ref="L7:L35">IF(K7="NJ",0,IF(K7=0,0,ROUNDDOWN(INDEX(MP_LJ,1,3)*(K7*100-INDEX(MP_LJ,1,4))^INDEX(MP_LJ,1,5),0)))</f>
        <v>274</v>
      </c>
      <c r="M7" s="212">
        <f aca="true" t="shared" si="5" ref="M7:M35">IF(L7=0,0,IF(K7&gt;=INDEX(AAA_U15B_LJ,1,1),"G1",IF(K7&gt;=INDEX(AAA_U15B_LJ,1,2),"G2",IF(K7&gt;=INDEX(AAA_U15B_LJ,1,3),"G3",IF(K7&gt;=INDEX(AAA_U15B_LJ,1,4),"G4",0)))))</f>
        <v>0</v>
      </c>
      <c r="N7" s="26">
        <v>1.2</v>
      </c>
      <c r="O7" s="210">
        <f aca="true" t="shared" si="6" ref="O7:O35">IF(N7="NJ",0,IF(N7=0,0,ROUNDDOWN(INDEX(MP_HJ,1,3)*(N7*100-INDEX(MP_HJ,1,4))^INDEX(MP_HJ,1,5),0)))</f>
        <v>188</v>
      </c>
      <c r="P7" s="212">
        <f aca="true" t="shared" si="7" ref="P7:P35">IF(O7=0,0,IF(N7&gt;=INDEX(AAA_U15B_HJ,1,1),"G1",IF(N7&gt;=INDEX(AAA_U15B_HJ,1,2),"G2",IF(N7&gt;=INDEX(AAA_U15B_HJ,1,3),"G3",IF(N7&gt;=INDEX(AAA_U15B_HJ,1,4),"G4",0)))))</f>
        <v>0</v>
      </c>
      <c r="Q7" s="26">
        <v>7.54</v>
      </c>
      <c r="R7" s="210">
        <f aca="true" t="shared" si="8" ref="R7:R35">IF(Q7="NT",0,IF(Q7=0,0,ROUNDDOWN(INDEX(MP_Shot,1,3)*(Q7-INDEX(MP_Shot,1,4))^INDEX(MP_Shot,1,5),0)))</f>
        <v>339</v>
      </c>
      <c r="S7" s="212">
        <f aca="true" t="shared" si="9" ref="S7:S35">IF(R7=0,0,IF(Q7&gt;=INDEX(AAA_U15B_Shot,1,1),"G1",IF(Q7&gt;=INDEX(AAA_U15B_Shot,1,2),"G2",IF(Q7&gt;=INDEX(AAA_U15B_Shot,1,3),"G3",IF(Q7&gt;=INDEX(AAA_U15B_Shot,1,4),"G4",0)))))</f>
        <v>0</v>
      </c>
      <c r="T7" s="100">
        <f aca="true" t="shared" si="10" ref="T7:T35">SUM(F7,I7,L7,O7,,R7)</f>
        <v>1436</v>
      </c>
      <c r="U7" s="101">
        <f aca="true" t="shared" si="11" ref="U7:U35">IF(AG7=0,"",RANK(T7,AG$7:AG$35))</f>
      </c>
      <c r="V7" s="104">
        <f aca="true" t="shared" si="12" ref="V7:V35">IF(T7=0,"",RANK(T7,T$7:T$35))</f>
        <v>4</v>
      </c>
      <c r="W7" s="34" t="str">
        <f aca="true" t="shared" si="13" ref="W7:W35">IF(T7&lt;15,"",HLOOKUP(T7,T_U15B_3_Events,7))</f>
        <v>5*</v>
      </c>
      <c r="X7" s="2"/>
      <c r="Y7" s="220"/>
      <c r="Z7" s="2"/>
      <c r="AA7" s="2"/>
      <c r="AB7" s="2"/>
      <c r="AC7" s="2"/>
      <c r="AD7" s="2"/>
      <c r="AG7" s="165">
        <f aca="true" t="shared" si="14" ref="AG7:AG34">IF(D7="C",T7,0)</f>
        <v>0</v>
      </c>
    </row>
    <row r="8" spans="1:33" s="1" customFormat="1" ht="12.75">
      <c r="A8" s="30">
        <v>112</v>
      </c>
      <c r="B8" s="29" t="s">
        <v>158</v>
      </c>
      <c r="C8" s="32" t="s">
        <v>73</v>
      </c>
      <c r="D8" s="89" t="s">
        <v>91</v>
      </c>
      <c r="E8" s="25">
        <v>13.3</v>
      </c>
      <c r="F8" s="214">
        <f t="shared" si="0"/>
        <v>549</v>
      </c>
      <c r="G8" s="169" t="str">
        <f t="shared" si="1"/>
        <v>G3</v>
      </c>
      <c r="H8" s="224">
        <v>0.0017824074074074072</v>
      </c>
      <c r="I8" s="214">
        <f t="shared" si="2"/>
        <v>276</v>
      </c>
      <c r="J8" s="169">
        <f t="shared" si="3"/>
        <v>0</v>
      </c>
      <c r="K8" s="26">
        <v>4.62</v>
      </c>
      <c r="L8" s="210">
        <f t="shared" si="4"/>
        <v>312</v>
      </c>
      <c r="M8" s="212">
        <f t="shared" si="5"/>
        <v>0</v>
      </c>
      <c r="N8" s="26">
        <v>1.62</v>
      </c>
      <c r="O8" s="210">
        <f t="shared" si="6"/>
        <v>480</v>
      </c>
      <c r="P8" s="212" t="str">
        <f t="shared" si="7"/>
        <v>G2</v>
      </c>
      <c r="Q8" s="26">
        <v>9.69</v>
      </c>
      <c r="R8" s="210">
        <f t="shared" si="8"/>
        <v>467</v>
      </c>
      <c r="S8" s="212" t="str">
        <f t="shared" si="9"/>
        <v>G4</v>
      </c>
      <c r="T8" s="100">
        <f t="shared" si="10"/>
        <v>2084</v>
      </c>
      <c r="U8" s="101">
        <f t="shared" si="11"/>
        <v>2</v>
      </c>
      <c r="V8" s="104">
        <f t="shared" si="12"/>
        <v>2</v>
      </c>
      <c r="W8" s="34" t="str">
        <f t="shared" si="13"/>
        <v>5*</v>
      </c>
      <c r="Y8" s="220"/>
      <c r="AG8" s="165">
        <f t="shared" si="14"/>
        <v>2084</v>
      </c>
    </row>
    <row r="9" spans="1:33" s="1" customFormat="1" ht="12.75">
      <c r="A9" s="30">
        <v>113</v>
      </c>
      <c r="B9" s="29" t="s">
        <v>159</v>
      </c>
      <c r="C9" s="32" t="s">
        <v>73</v>
      </c>
      <c r="D9" s="89" t="s">
        <v>92</v>
      </c>
      <c r="E9" s="25">
        <v>16.5</v>
      </c>
      <c r="F9" s="214">
        <f t="shared" si="0"/>
        <v>281</v>
      </c>
      <c r="G9" s="169">
        <f t="shared" si="1"/>
        <v>0</v>
      </c>
      <c r="H9" s="224">
        <v>0.0015694444444444443</v>
      </c>
      <c r="I9" s="214">
        <f t="shared" si="2"/>
        <v>515</v>
      </c>
      <c r="J9" s="169" t="str">
        <f t="shared" si="3"/>
        <v>G3</v>
      </c>
      <c r="K9" s="26">
        <v>3.96</v>
      </c>
      <c r="L9" s="210">
        <f t="shared" si="4"/>
        <v>199</v>
      </c>
      <c r="M9" s="212">
        <f t="shared" si="5"/>
        <v>0</v>
      </c>
      <c r="N9" s="26">
        <v>1.35</v>
      </c>
      <c r="O9" s="210">
        <f t="shared" si="6"/>
        <v>283</v>
      </c>
      <c r="P9" s="212">
        <f t="shared" si="7"/>
        <v>0</v>
      </c>
      <c r="Q9" s="26">
        <v>6.87</v>
      </c>
      <c r="R9" s="210">
        <f t="shared" si="8"/>
        <v>300</v>
      </c>
      <c r="S9" s="212">
        <f t="shared" si="9"/>
        <v>0</v>
      </c>
      <c r="T9" s="100">
        <f t="shared" si="10"/>
        <v>1578</v>
      </c>
      <c r="U9" s="101">
        <f t="shared" si="11"/>
      </c>
      <c r="V9" s="104">
        <f t="shared" si="12"/>
        <v>3</v>
      </c>
      <c r="W9" s="34" t="str">
        <f t="shared" si="13"/>
        <v>5*</v>
      </c>
      <c r="Y9" s="220"/>
      <c r="AG9" s="165">
        <f t="shared" si="14"/>
        <v>0</v>
      </c>
    </row>
    <row r="10" spans="1:33" s="1" customFormat="1" ht="12.75">
      <c r="A10" s="28">
        <v>114</v>
      </c>
      <c r="B10" s="29" t="s">
        <v>95</v>
      </c>
      <c r="C10" s="32" t="s">
        <v>73</v>
      </c>
      <c r="D10" s="89" t="s">
        <v>91</v>
      </c>
      <c r="E10" s="25">
        <v>15.9</v>
      </c>
      <c r="F10" s="214">
        <f t="shared" si="0"/>
        <v>325</v>
      </c>
      <c r="G10" s="169">
        <f t="shared" si="1"/>
        <v>0</v>
      </c>
      <c r="H10" s="224">
        <v>0.001883101851851852</v>
      </c>
      <c r="I10" s="214">
        <f t="shared" si="2"/>
        <v>187</v>
      </c>
      <c r="J10" s="169">
        <f t="shared" si="3"/>
        <v>0</v>
      </c>
      <c r="K10" s="26">
        <v>3.86</v>
      </c>
      <c r="L10" s="210">
        <f t="shared" si="4"/>
        <v>184</v>
      </c>
      <c r="M10" s="212">
        <f t="shared" si="5"/>
        <v>0</v>
      </c>
      <c r="N10" s="26">
        <v>1.26</v>
      </c>
      <c r="O10" s="210">
        <f t="shared" si="6"/>
        <v>225</v>
      </c>
      <c r="P10" s="212">
        <f t="shared" si="7"/>
        <v>0</v>
      </c>
      <c r="Q10" s="26">
        <v>7.1</v>
      </c>
      <c r="R10" s="210">
        <f t="shared" si="8"/>
        <v>313</v>
      </c>
      <c r="S10" s="212">
        <f t="shared" si="9"/>
        <v>0</v>
      </c>
      <c r="T10" s="100">
        <f t="shared" si="10"/>
        <v>1234</v>
      </c>
      <c r="U10" s="101">
        <f t="shared" si="11"/>
        <v>3</v>
      </c>
      <c r="V10" s="104">
        <f t="shared" si="12"/>
        <v>6</v>
      </c>
      <c r="W10" s="34" t="str">
        <f t="shared" si="13"/>
        <v>5*</v>
      </c>
      <c r="Y10" s="220"/>
      <c r="AE10" s="3"/>
      <c r="AG10" s="165">
        <f t="shared" si="14"/>
        <v>1234</v>
      </c>
    </row>
    <row r="11" spans="1:33" s="1" customFormat="1" ht="12.75">
      <c r="A11" s="30">
        <v>115</v>
      </c>
      <c r="B11" s="29" t="s">
        <v>160</v>
      </c>
      <c r="C11" s="32" t="s">
        <v>73</v>
      </c>
      <c r="D11" s="89" t="s">
        <v>91</v>
      </c>
      <c r="E11" s="25">
        <v>12.8</v>
      </c>
      <c r="F11" s="214">
        <f t="shared" si="0"/>
        <v>598</v>
      </c>
      <c r="G11" s="169" t="str">
        <f t="shared" si="1"/>
        <v>G3</v>
      </c>
      <c r="H11" s="224">
        <v>0.0016041666666666667</v>
      </c>
      <c r="I11" s="214">
        <f t="shared" si="2"/>
        <v>471</v>
      </c>
      <c r="J11" s="169" t="str">
        <f t="shared" si="3"/>
        <v>G4</v>
      </c>
      <c r="K11" s="26">
        <v>4.86</v>
      </c>
      <c r="L11" s="210">
        <f t="shared" si="4"/>
        <v>356</v>
      </c>
      <c r="M11" s="212" t="str">
        <f t="shared" si="5"/>
        <v>G4</v>
      </c>
      <c r="N11" s="26">
        <v>1.53</v>
      </c>
      <c r="O11" s="210">
        <f t="shared" si="6"/>
        <v>411</v>
      </c>
      <c r="P11" s="212" t="str">
        <f t="shared" si="7"/>
        <v>G4</v>
      </c>
      <c r="Q11" s="26">
        <v>8.49</v>
      </c>
      <c r="R11" s="210">
        <f t="shared" si="8"/>
        <v>395</v>
      </c>
      <c r="S11" s="212">
        <f t="shared" si="9"/>
        <v>0</v>
      </c>
      <c r="T11" s="100">
        <f t="shared" si="10"/>
        <v>2231</v>
      </c>
      <c r="U11" s="101">
        <f t="shared" si="11"/>
        <v>1</v>
      </c>
      <c r="V11" s="104">
        <f t="shared" si="12"/>
        <v>1</v>
      </c>
      <c r="W11" s="34" t="str">
        <f t="shared" si="13"/>
        <v>5*</v>
      </c>
      <c r="Y11" s="220"/>
      <c r="AE11" s="3"/>
      <c r="AG11" s="165">
        <f t="shared" si="14"/>
        <v>2231</v>
      </c>
    </row>
    <row r="12" spans="1:33" s="1" customFormat="1" ht="12.75">
      <c r="A12" s="30">
        <v>116</v>
      </c>
      <c r="B12" s="29" t="s">
        <v>161</v>
      </c>
      <c r="C12" s="32" t="s">
        <v>74</v>
      </c>
      <c r="D12" s="89" t="s">
        <v>92</v>
      </c>
      <c r="E12" s="25">
        <v>14.6</v>
      </c>
      <c r="F12" s="214">
        <f t="shared" si="0"/>
        <v>430</v>
      </c>
      <c r="G12" s="169">
        <f t="shared" si="1"/>
        <v>0</v>
      </c>
      <c r="H12" s="224">
        <v>0.0019814814814814816</v>
      </c>
      <c r="I12" s="214">
        <f t="shared" si="2"/>
        <v>116</v>
      </c>
      <c r="J12" s="169">
        <f t="shared" si="3"/>
        <v>0</v>
      </c>
      <c r="K12" s="26">
        <v>4.2</v>
      </c>
      <c r="L12" s="210">
        <f t="shared" si="4"/>
        <v>239</v>
      </c>
      <c r="M12" s="212">
        <f t="shared" si="5"/>
        <v>0</v>
      </c>
      <c r="N12" s="26">
        <v>1.29</v>
      </c>
      <c r="O12" s="210">
        <f t="shared" si="6"/>
        <v>244</v>
      </c>
      <c r="P12" s="212">
        <f t="shared" si="7"/>
        <v>0</v>
      </c>
      <c r="Q12" s="26">
        <v>7.14</v>
      </c>
      <c r="R12" s="210">
        <f t="shared" si="8"/>
        <v>316</v>
      </c>
      <c r="S12" s="212">
        <f t="shared" si="9"/>
        <v>0</v>
      </c>
      <c r="T12" s="100">
        <f t="shared" si="10"/>
        <v>1345</v>
      </c>
      <c r="U12" s="101">
        <f t="shared" si="11"/>
      </c>
      <c r="V12" s="104">
        <f t="shared" si="12"/>
        <v>5</v>
      </c>
      <c r="W12" s="34" t="str">
        <f t="shared" si="13"/>
        <v>5*</v>
      </c>
      <c r="Y12" s="220"/>
      <c r="AE12" s="3"/>
      <c r="AG12" s="165">
        <f t="shared" si="14"/>
        <v>0</v>
      </c>
    </row>
    <row r="13" spans="1:33" s="1" customFormat="1" ht="12.75">
      <c r="A13" s="28"/>
      <c r="B13" s="29"/>
      <c r="C13" s="32"/>
      <c r="D13" s="89"/>
      <c r="E13" s="25"/>
      <c r="F13" s="214">
        <f t="shared" si="0"/>
        <v>0</v>
      </c>
      <c r="G13" s="169">
        <f t="shared" si="1"/>
        <v>0</v>
      </c>
      <c r="H13" s="224"/>
      <c r="I13" s="214">
        <f t="shared" si="2"/>
        <v>0</v>
      </c>
      <c r="J13" s="169">
        <f t="shared" si="3"/>
        <v>0</v>
      </c>
      <c r="K13" s="26"/>
      <c r="L13" s="210">
        <f t="shared" si="4"/>
        <v>0</v>
      </c>
      <c r="M13" s="212">
        <f t="shared" si="5"/>
        <v>0</v>
      </c>
      <c r="N13" s="26"/>
      <c r="O13" s="210">
        <f t="shared" si="6"/>
        <v>0</v>
      </c>
      <c r="P13" s="212">
        <f t="shared" si="7"/>
        <v>0</v>
      </c>
      <c r="Q13" s="26"/>
      <c r="R13" s="210">
        <f t="shared" si="8"/>
        <v>0</v>
      </c>
      <c r="S13" s="212">
        <f t="shared" si="9"/>
        <v>0</v>
      </c>
      <c r="T13" s="100">
        <f t="shared" si="10"/>
        <v>0</v>
      </c>
      <c r="U13" s="101">
        <f t="shared" si="11"/>
      </c>
      <c r="V13" s="104">
        <f t="shared" si="12"/>
      </c>
      <c r="W13" s="34">
        <f t="shared" si="13"/>
      </c>
      <c r="Y13" s="220"/>
      <c r="AE13" s="3"/>
      <c r="AG13" s="165">
        <f t="shared" si="14"/>
        <v>0</v>
      </c>
    </row>
    <row r="14" spans="1:33" s="1" customFormat="1" ht="12.75">
      <c r="A14" s="28"/>
      <c r="B14" s="29"/>
      <c r="C14" s="32"/>
      <c r="D14" s="89"/>
      <c r="E14" s="25"/>
      <c r="F14" s="214">
        <f t="shared" si="0"/>
        <v>0</v>
      </c>
      <c r="G14" s="169">
        <f t="shared" si="1"/>
        <v>0</v>
      </c>
      <c r="H14" s="224"/>
      <c r="I14" s="214">
        <f t="shared" si="2"/>
        <v>0</v>
      </c>
      <c r="J14" s="169">
        <f t="shared" si="3"/>
        <v>0</v>
      </c>
      <c r="K14" s="26"/>
      <c r="L14" s="210">
        <f t="shared" si="4"/>
        <v>0</v>
      </c>
      <c r="M14" s="212">
        <f t="shared" si="5"/>
        <v>0</v>
      </c>
      <c r="N14" s="26"/>
      <c r="O14" s="210">
        <f t="shared" si="6"/>
        <v>0</v>
      </c>
      <c r="P14" s="212">
        <f t="shared" si="7"/>
        <v>0</v>
      </c>
      <c r="Q14" s="26"/>
      <c r="R14" s="210">
        <f t="shared" si="8"/>
        <v>0</v>
      </c>
      <c r="S14" s="212">
        <f t="shared" si="9"/>
        <v>0</v>
      </c>
      <c r="T14" s="100">
        <f t="shared" si="10"/>
        <v>0</v>
      </c>
      <c r="U14" s="101">
        <f t="shared" si="11"/>
      </c>
      <c r="V14" s="104">
        <f t="shared" si="12"/>
      </c>
      <c r="W14" s="34">
        <f t="shared" si="13"/>
      </c>
      <c r="Y14" s="220"/>
      <c r="AE14" s="3"/>
      <c r="AG14" s="165">
        <f t="shared" si="14"/>
        <v>0</v>
      </c>
    </row>
    <row r="15" spans="1:33" s="1" customFormat="1" ht="12.75">
      <c r="A15" s="28"/>
      <c r="B15" s="29"/>
      <c r="C15" s="32"/>
      <c r="D15" s="89"/>
      <c r="E15" s="25"/>
      <c r="F15" s="214">
        <f t="shared" si="0"/>
        <v>0</v>
      </c>
      <c r="G15" s="169">
        <f t="shared" si="1"/>
        <v>0</v>
      </c>
      <c r="H15" s="224"/>
      <c r="I15" s="214">
        <f t="shared" si="2"/>
        <v>0</v>
      </c>
      <c r="J15" s="169">
        <f t="shared" si="3"/>
        <v>0</v>
      </c>
      <c r="K15" s="26"/>
      <c r="L15" s="210">
        <f t="shared" si="4"/>
        <v>0</v>
      </c>
      <c r="M15" s="212">
        <f t="shared" si="5"/>
        <v>0</v>
      </c>
      <c r="N15" s="26"/>
      <c r="O15" s="210">
        <f t="shared" si="6"/>
        <v>0</v>
      </c>
      <c r="P15" s="212">
        <f t="shared" si="7"/>
        <v>0</v>
      </c>
      <c r="Q15" s="26"/>
      <c r="R15" s="210">
        <f t="shared" si="8"/>
        <v>0</v>
      </c>
      <c r="S15" s="212">
        <f t="shared" si="9"/>
        <v>0</v>
      </c>
      <c r="T15" s="100">
        <f t="shared" si="10"/>
        <v>0</v>
      </c>
      <c r="U15" s="101">
        <f t="shared" si="11"/>
      </c>
      <c r="V15" s="104">
        <f t="shared" si="12"/>
      </c>
      <c r="W15" s="34">
        <f t="shared" si="13"/>
      </c>
      <c r="Y15" s="220"/>
      <c r="AE15" s="3"/>
      <c r="AG15" s="165">
        <f t="shared" si="14"/>
        <v>0</v>
      </c>
    </row>
    <row r="16" spans="1:33" s="1" customFormat="1" ht="12.75">
      <c r="A16" s="28"/>
      <c r="B16" s="29"/>
      <c r="C16" s="32"/>
      <c r="D16" s="89"/>
      <c r="E16" s="25"/>
      <c r="F16" s="214">
        <f t="shared" si="0"/>
        <v>0</v>
      </c>
      <c r="G16" s="169">
        <f t="shared" si="1"/>
        <v>0</v>
      </c>
      <c r="H16" s="224"/>
      <c r="I16" s="214">
        <f t="shared" si="2"/>
        <v>0</v>
      </c>
      <c r="J16" s="169">
        <f t="shared" si="3"/>
        <v>0</v>
      </c>
      <c r="K16" s="26"/>
      <c r="L16" s="210">
        <f t="shared" si="4"/>
        <v>0</v>
      </c>
      <c r="M16" s="212">
        <f t="shared" si="5"/>
        <v>0</v>
      </c>
      <c r="N16" s="26"/>
      <c r="O16" s="210">
        <f t="shared" si="6"/>
        <v>0</v>
      </c>
      <c r="P16" s="212">
        <f t="shared" si="7"/>
        <v>0</v>
      </c>
      <c r="Q16" s="26"/>
      <c r="R16" s="210">
        <f t="shared" si="8"/>
        <v>0</v>
      </c>
      <c r="S16" s="212">
        <f t="shared" si="9"/>
        <v>0</v>
      </c>
      <c r="T16" s="100">
        <f t="shared" si="10"/>
        <v>0</v>
      </c>
      <c r="U16" s="101">
        <f t="shared" si="11"/>
      </c>
      <c r="V16" s="104">
        <f t="shared" si="12"/>
      </c>
      <c r="W16" s="34">
        <f t="shared" si="13"/>
      </c>
      <c r="Y16" s="220"/>
      <c r="AE16" s="3"/>
      <c r="AG16" s="165">
        <f t="shared" si="14"/>
        <v>0</v>
      </c>
    </row>
    <row r="17" spans="1:33" s="1" customFormat="1" ht="12.75">
      <c r="A17" s="30"/>
      <c r="B17" s="29"/>
      <c r="C17" s="32"/>
      <c r="D17" s="89"/>
      <c r="E17" s="25"/>
      <c r="F17" s="214">
        <f t="shared" si="0"/>
        <v>0</v>
      </c>
      <c r="G17" s="169">
        <f t="shared" si="1"/>
        <v>0</v>
      </c>
      <c r="H17" s="224"/>
      <c r="I17" s="214">
        <f t="shared" si="2"/>
        <v>0</v>
      </c>
      <c r="J17" s="169">
        <f t="shared" si="3"/>
        <v>0</v>
      </c>
      <c r="K17" s="26"/>
      <c r="L17" s="210">
        <f t="shared" si="4"/>
        <v>0</v>
      </c>
      <c r="M17" s="212">
        <f t="shared" si="5"/>
        <v>0</v>
      </c>
      <c r="N17" s="26"/>
      <c r="O17" s="210">
        <f t="shared" si="6"/>
        <v>0</v>
      </c>
      <c r="P17" s="212">
        <f t="shared" si="7"/>
        <v>0</v>
      </c>
      <c r="Q17" s="26"/>
      <c r="R17" s="210">
        <f t="shared" si="8"/>
        <v>0</v>
      </c>
      <c r="S17" s="212">
        <f t="shared" si="9"/>
        <v>0</v>
      </c>
      <c r="T17" s="100">
        <f t="shared" si="10"/>
        <v>0</v>
      </c>
      <c r="U17" s="101">
        <f t="shared" si="11"/>
      </c>
      <c r="V17" s="104">
        <f t="shared" si="12"/>
      </c>
      <c r="W17" s="34">
        <f t="shared" si="13"/>
      </c>
      <c r="Y17" s="220"/>
      <c r="AE17" s="3"/>
      <c r="AG17" s="165">
        <f t="shared" si="14"/>
        <v>0</v>
      </c>
    </row>
    <row r="18" spans="1:33" s="1" customFormat="1" ht="12.75">
      <c r="A18" s="28"/>
      <c r="B18" s="29"/>
      <c r="C18" s="32"/>
      <c r="D18" s="89"/>
      <c r="E18" s="25"/>
      <c r="F18" s="214">
        <f t="shared" si="0"/>
        <v>0</v>
      </c>
      <c r="G18" s="169">
        <f t="shared" si="1"/>
        <v>0</v>
      </c>
      <c r="H18" s="224"/>
      <c r="I18" s="214">
        <f t="shared" si="2"/>
        <v>0</v>
      </c>
      <c r="J18" s="169">
        <f t="shared" si="3"/>
        <v>0</v>
      </c>
      <c r="K18" s="26"/>
      <c r="L18" s="210">
        <f t="shared" si="4"/>
        <v>0</v>
      </c>
      <c r="M18" s="212">
        <f t="shared" si="5"/>
        <v>0</v>
      </c>
      <c r="N18" s="26"/>
      <c r="O18" s="210">
        <f t="shared" si="6"/>
        <v>0</v>
      </c>
      <c r="P18" s="212">
        <f t="shared" si="7"/>
        <v>0</v>
      </c>
      <c r="Q18" s="26"/>
      <c r="R18" s="210">
        <f t="shared" si="8"/>
        <v>0</v>
      </c>
      <c r="S18" s="212">
        <f t="shared" si="9"/>
        <v>0</v>
      </c>
      <c r="T18" s="100">
        <f t="shared" si="10"/>
        <v>0</v>
      </c>
      <c r="U18" s="101">
        <f t="shared" si="11"/>
      </c>
      <c r="V18" s="104">
        <f t="shared" si="12"/>
      </c>
      <c r="W18" s="34">
        <f t="shared" si="13"/>
      </c>
      <c r="Y18" s="220"/>
      <c r="AE18" s="3"/>
      <c r="AG18" s="165">
        <f t="shared" si="14"/>
        <v>0</v>
      </c>
    </row>
    <row r="19" spans="1:33" s="1" customFormat="1" ht="12.75">
      <c r="A19" s="28"/>
      <c r="B19" s="29"/>
      <c r="C19" s="32"/>
      <c r="D19" s="89"/>
      <c r="E19" s="25"/>
      <c r="F19" s="214">
        <f t="shared" si="0"/>
        <v>0</v>
      </c>
      <c r="G19" s="169">
        <f t="shared" si="1"/>
        <v>0</v>
      </c>
      <c r="H19" s="224"/>
      <c r="I19" s="214">
        <f t="shared" si="2"/>
        <v>0</v>
      </c>
      <c r="J19" s="169">
        <f t="shared" si="3"/>
        <v>0</v>
      </c>
      <c r="K19" s="26"/>
      <c r="L19" s="210">
        <f t="shared" si="4"/>
        <v>0</v>
      </c>
      <c r="M19" s="212">
        <f t="shared" si="5"/>
        <v>0</v>
      </c>
      <c r="N19" s="26"/>
      <c r="O19" s="210">
        <f t="shared" si="6"/>
        <v>0</v>
      </c>
      <c r="P19" s="212">
        <f t="shared" si="7"/>
        <v>0</v>
      </c>
      <c r="Q19" s="26"/>
      <c r="R19" s="210">
        <f t="shared" si="8"/>
        <v>0</v>
      </c>
      <c r="S19" s="212">
        <f t="shared" si="9"/>
        <v>0</v>
      </c>
      <c r="T19" s="100">
        <f t="shared" si="10"/>
        <v>0</v>
      </c>
      <c r="U19" s="101">
        <f t="shared" si="11"/>
      </c>
      <c r="V19" s="104">
        <f t="shared" si="12"/>
      </c>
      <c r="W19" s="34">
        <f t="shared" si="13"/>
      </c>
      <c r="Y19" s="220"/>
      <c r="AG19" s="165">
        <f t="shared" si="14"/>
        <v>0</v>
      </c>
    </row>
    <row r="20" spans="1:33" s="1" customFormat="1" ht="12.75">
      <c r="A20" s="28"/>
      <c r="B20" s="29"/>
      <c r="C20" s="32"/>
      <c r="D20" s="89"/>
      <c r="E20" s="26"/>
      <c r="F20" s="214">
        <f t="shared" si="0"/>
        <v>0</v>
      </c>
      <c r="G20" s="169">
        <f t="shared" si="1"/>
        <v>0</v>
      </c>
      <c r="H20" s="224"/>
      <c r="I20" s="214">
        <f t="shared" si="2"/>
        <v>0</v>
      </c>
      <c r="J20" s="169">
        <f t="shared" si="3"/>
        <v>0</v>
      </c>
      <c r="K20" s="26"/>
      <c r="L20" s="210">
        <f t="shared" si="4"/>
        <v>0</v>
      </c>
      <c r="M20" s="212">
        <f t="shared" si="5"/>
        <v>0</v>
      </c>
      <c r="N20" s="26"/>
      <c r="O20" s="210">
        <f t="shared" si="6"/>
        <v>0</v>
      </c>
      <c r="P20" s="212">
        <f t="shared" si="7"/>
        <v>0</v>
      </c>
      <c r="Q20" s="26"/>
      <c r="R20" s="210">
        <f t="shared" si="8"/>
        <v>0</v>
      </c>
      <c r="S20" s="212">
        <f t="shared" si="9"/>
        <v>0</v>
      </c>
      <c r="T20" s="100">
        <f t="shared" si="10"/>
        <v>0</v>
      </c>
      <c r="U20" s="101">
        <f t="shared" si="11"/>
      </c>
      <c r="V20" s="104">
        <f t="shared" si="12"/>
      </c>
      <c r="W20" s="34">
        <f t="shared" si="13"/>
      </c>
      <c r="Y20" s="220"/>
      <c r="AG20" s="165">
        <f t="shared" si="14"/>
        <v>0</v>
      </c>
    </row>
    <row r="21" spans="1:33" s="1" customFormat="1" ht="12.75">
      <c r="A21" s="30"/>
      <c r="B21" s="29"/>
      <c r="C21" s="32"/>
      <c r="D21" s="89"/>
      <c r="E21" s="26"/>
      <c r="F21" s="214">
        <f t="shared" si="0"/>
        <v>0</v>
      </c>
      <c r="G21" s="169">
        <f t="shared" si="1"/>
        <v>0</v>
      </c>
      <c r="H21" s="224"/>
      <c r="I21" s="214">
        <f t="shared" si="2"/>
        <v>0</v>
      </c>
      <c r="J21" s="169">
        <f t="shared" si="3"/>
        <v>0</v>
      </c>
      <c r="K21" s="26"/>
      <c r="L21" s="210">
        <f t="shared" si="4"/>
        <v>0</v>
      </c>
      <c r="M21" s="212">
        <f t="shared" si="5"/>
        <v>0</v>
      </c>
      <c r="N21" s="26"/>
      <c r="O21" s="210">
        <f t="shared" si="6"/>
        <v>0</v>
      </c>
      <c r="P21" s="212">
        <f t="shared" si="7"/>
        <v>0</v>
      </c>
      <c r="Q21" s="26"/>
      <c r="R21" s="210">
        <f t="shared" si="8"/>
        <v>0</v>
      </c>
      <c r="S21" s="212">
        <f t="shared" si="9"/>
        <v>0</v>
      </c>
      <c r="T21" s="100">
        <f t="shared" si="10"/>
        <v>0</v>
      </c>
      <c r="U21" s="101">
        <f t="shared" si="11"/>
      </c>
      <c r="V21" s="104">
        <f t="shared" si="12"/>
      </c>
      <c r="W21" s="34">
        <f t="shared" si="13"/>
      </c>
      <c r="Y21" s="220"/>
      <c r="AG21" s="165">
        <f t="shared" si="14"/>
        <v>0</v>
      </c>
    </row>
    <row r="22" spans="1:33" s="1" customFormat="1" ht="12.75">
      <c r="A22" s="31"/>
      <c r="B22" s="32"/>
      <c r="C22" s="32"/>
      <c r="D22" s="89"/>
      <c r="E22" s="26"/>
      <c r="F22" s="214">
        <f t="shared" si="0"/>
        <v>0</v>
      </c>
      <c r="G22" s="169">
        <f t="shared" si="1"/>
        <v>0</v>
      </c>
      <c r="H22" s="224"/>
      <c r="I22" s="214">
        <f t="shared" si="2"/>
        <v>0</v>
      </c>
      <c r="J22" s="169">
        <f t="shared" si="3"/>
        <v>0</v>
      </c>
      <c r="K22" s="26"/>
      <c r="L22" s="210">
        <f t="shared" si="4"/>
        <v>0</v>
      </c>
      <c r="M22" s="212">
        <f t="shared" si="5"/>
        <v>0</v>
      </c>
      <c r="N22" s="26"/>
      <c r="O22" s="210">
        <f t="shared" si="6"/>
        <v>0</v>
      </c>
      <c r="P22" s="212">
        <f t="shared" si="7"/>
        <v>0</v>
      </c>
      <c r="Q22" s="26"/>
      <c r="R22" s="210">
        <f t="shared" si="8"/>
        <v>0</v>
      </c>
      <c r="S22" s="212">
        <f t="shared" si="9"/>
        <v>0</v>
      </c>
      <c r="T22" s="100">
        <f t="shared" si="10"/>
        <v>0</v>
      </c>
      <c r="U22" s="101">
        <f t="shared" si="11"/>
      </c>
      <c r="V22" s="104">
        <f t="shared" si="12"/>
      </c>
      <c r="W22" s="34">
        <f t="shared" si="13"/>
      </c>
      <c r="Y22" s="220"/>
      <c r="AG22" s="165">
        <f t="shared" si="14"/>
        <v>0</v>
      </c>
    </row>
    <row r="23" spans="1:33" s="1" customFormat="1" ht="12.75">
      <c r="A23" s="31"/>
      <c r="B23" s="32"/>
      <c r="C23" s="32"/>
      <c r="D23" s="89"/>
      <c r="E23" s="26"/>
      <c r="F23" s="214">
        <f t="shared" si="0"/>
        <v>0</v>
      </c>
      <c r="G23" s="169">
        <f t="shared" si="1"/>
        <v>0</v>
      </c>
      <c r="H23" s="224"/>
      <c r="I23" s="214">
        <f t="shared" si="2"/>
        <v>0</v>
      </c>
      <c r="J23" s="169">
        <f t="shared" si="3"/>
        <v>0</v>
      </c>
      <c r="K23" s="26"/>
      <c r="L23" s="210">
        <f t="shared" si="4"/>
        <v>0</v>
      </c>
      <c r="M23" s="212">
        <f t="shared" si="5"/>
        <v>0</v>
      </c>
      <c r="N23" s="26"/>
      <c r="O23" s="210">
        <f t="shared" si="6"/>
        <v>0</v>
      </c>
      <c r="P23" s="212">
        <f t="shared" si="7"/>
        <v>0</v>
      </c>
      <c r="Q23" s="26"/>
      <c r="R23" s="210">
        <f t="shared" si="8"/>
        <v>0</v>
      </c>
      <c r="S23" s="212">
        <f t="shared" si="9"/>
        <v>0</v>
      </c>
      <c r="T23" s="100">
        <f t="shared" si="10"/>
        <v>0</v>
      </c>
      <c r="U23" s="101">
        <f t="shared" si="11"/>
      </c>
      <c r="V23" s="104">
        <f t="shared" si="12"/>
      </c>
      <c r="W23" s="34">
        <f t="shared" si="13"/>
      </c>
      <c r="Y23" s="220"/>
      <c r="AG23" s="165">
        <f t="shared" si="14"/>
        <v>0</v>
      </c>
    </row>
    <row r="24" spans="1:33" s="1" customFormat="1" ht="12.75">
      <c r="A24" s="31"/>
      <c r="B24" s="32"/>
      <c r="C24" s="32"/>
      <c r="D24" s="89"/>
      <c r="E24" s="26"/>
      <c r="F24" s="214">
        <f t="shared" si="0"/>
        <v>0</v>
      </c>
      <c r="G24" s="169">
        <f t="shared" si="1"/>
        <v>0</v>
      </c>
      <c r="H24" s="224"/>
      <c r="I24" s="214">
        <f t="shared" si="2"/>
        <v>0</v>
      </c>
      <c r="J24" s="169">
        <f t="shared" si="3"/>
        <v>0</v>
      </c>
      <c r="K24" s="26"/>
      <c r="L24" s="210">
        <f t="shared" si="4"/>
        <v>0</v>
      </c>
      <c r="M24" s="212">
        <f t="shared" si="5"/>
        <v>0</v>
      </c>
      <c r="N24" s="26"/>
      <c r="O24" s="210">
        <f t="shared" si="6"/>
        <v>0</v>
      </c>
      <c r="P24" s="212">
        <f t="shared" si="7"/>
        <v>0</v>
      </c>
      <c r="Q24" s="26"/>
      <c r="R24" s="210">
        <f t="shared" si="8"/>
        <v>0</v>
      </c>
      <c r="S24" s="212">
        <f t="shared" si="9"/>
        <v>0</v>
      </c>
      <c r="T24" s="100">
        <f t="shared" si="10"/>
        <v>0</v>
      </c>
      <c r="U24" s="101">
        <f t="shared" si="11"/>
      </c>
      <c r="V24" s="104">
        <f t="shared" si="12"/>
      </c>
      <c r="W24" s="34">
        <f t="shared" si="13"/>
      </c>
      <c r="Y24" s="220"/>
      <c r="AG24" s="165">
        <f>IF(D24="C",T24,0)</f>
        <v>0</v>
      </c>
    </row>
    <row r="25" spans="1:33" s="1" customFormat="1" ht="12.75">
      <c r="A25" s="31"/>
      <c r="B25" s="32"/>
      <c r="C25" s="32"/>
      <c r="D25" s="89"/>
      <c r="E25" s="27"/>
      <c r="F25" s="214">
        <f t="shared" si="0"/>
        <v>0</v>
      </c>
      <c r="G25" s="169">
        <f t="shared" si="1"/>
        <v>0</v>
      </c>
      <c r="H25" s="224"/>
      <c r="I25" s="214">
        <f t="shared" si="2"/>
        <v>0</v>
      </c>
      <c r="J25" s="169">
        <f t="shared" si="3"/>
        <v>0</v>
      </c>
      <c r="K25" s="166"/>
      <c r="L25" s="210">
        <f t="shared" si="4"/>
        <v>0</v>
      </c>
      <c r="M25" s="212">
        <f t="shared" si="5"/>
        <v>0</v>
      </c>
      <c r="N25" s="166"/>
      <c r="O25" s="210">
        <f t="shared" si="6"/>
        <v>0</v>
      </c>
      <c r="P25" s="212">
        <f t="shared" si="7"/>
        <v>0</v>
      </c>
      <c r="Q25" s="166"/>
      <c r="R25" s="210">
        <f t="shared" si="8"/>
        <v>0</v>
      </c>
      <c r="S25" s="212">
        <f t="shared" si="9"/>
        <v>0</v>
      </c>
      <c r="T25" s="100">
        <f t="shared" si="10"/>
        <v>0</v>
      </c>
      <c r="U25" s="101">
        <f t="shared" si="11"/>
      </c>
      <c r="V25" s="104">
        <f t="shared" si="12"/>
      </c>
      <c r="W25" s="34">
        <f t="shared" si="13"/>
      </c>
      <c r="Y25" s="220"/>
      <c r="AG25" s="165">
        <f>IF(D25="C",T25,0)</f>
        <v>0</v>
      </c>
    </row>
    <row r="26" spans="1:33" s="1" customFormat="1" ht="12.75">
      <c r="A26" s="31"/>
      <c r="B26" s="32"/>
      <c r="C26" s="32"/>
      <c r="D26" s="89"/>
      <c r="E26" s="27"/>
      <c r="F26" s="214">
        <f t="shared" si="0"/>
        <v>0</v>
      </c>
      <c r="G26" s="169">
        <f t="shared" si="1"/>
        <v>0</v>
      </c>
      <c r="H26" s="224"/>
      <c r="I26" s="214">
        <f t="shared" si="2"/>
        <v>0</v>
      </c>
      <c r="J26" s="169">
        <f t="shared" si="3"/>
        <v>0</v>
      </c>
      <c r="K26" s="166"/>
      <c r="L26" s="210">
        <f t="shared" si="4"/>
        <v>0</v>
      </c>
      <c r="M26" s="212">
        <f t="shared" si="5"/>
        <v>0</v>
      </c>
      <c r="N26" s="166"/>
      <c r="O26" s="210">
        <f t="shared" si="6"/>
        <v>0</v>
      </c>
      <c r="P26" s="212">
        <f t="shared" si="7"/>
        <v>0</v>
      </c>
      <c r="Q26" s="166"/>
      <c r="R26" s="210">
        <f t="shared" si="8"/>
        <v>0</v>
      </c>
      <c r="S26" s="212">
        <f t="shared" si="9"/>
        <v>0</v>
      </c>
      <c r="T26" s="100">
        <f t="shared" si="10"/>
        <v>0</v>
      </c>
      <c r="U26" s="101">
        <f t="shared" si="11"/>
      </c>
      <c r="V26" s="104">
        <f t="shared" si="12"/>
      </c>
      <c r="W26" s="34">
        <f t="shared" si="13"/>
      </c>
      <c r="Y26" s="220"/>
      <c r="AG26" s="165">
        <f t="shared" si="14"/>
        <v>0</v>
      </c>
    </row>
    <row r="27" spans="1:33" s="1" customFormat="1" ht="12.75">
      <c r="A27" s="31"/>
      <c r="B27" s="32"/>
      <c r="C27" s="32"/>
      <c r="D27" s="89"/>
      <c r="E27" s="27"/>
      <c r="F27" s="214">
        <f t="shared" si="0"/>
        <v>0</v>
      </c>
      <c r="G27" s="169">
        <f t="shared" si="1"/>
        <v>0</v>
      </c>
      <c r="H27" s="224"/>
      <c r="I27" s="214">
        <f t="shared" si="2"/>
        <v>0</v>
      </c>
      <c r="J27" s="169">
        <f t="shared" si="3"/>
        <v>0</v>
      </c>
      <c r="K27" s="166"/>
      <c r="L27" s="210">
        <f t="shared" si="4"/>
        <v>0</v>
      </c>
      <c r="M27" s="212">
        <f t="shared" si="5"/>
        <v>0</v>
      </c>
      <c r="N27" s="166"/>
      <c r="O27" s="210">
        <f t="shared" si="6"/>
        <v>0</v>
      </c>
      <c r="P27" s="212">
        <f t="shared" si="7"/>
        <v>0</v>
      </c>
      <c r="Q27" s="166"/>
      <c r="R27" s="210">
        <f t="shared" si="8"/>
        <v>0</v>
      </c>
      <c r="S27" s="212">
        <f t="shared" si="9"/>
        <v>0</v>
      </c>
      <c r="T27" s="100">
        <f t="shared" si="10"/>
        <v>0</v>
      </c>
      <c r="U27" s="101">
        <f t="shared" si="11"/>
      </c>
      <c r="V27" s="104">
        <f t="shared" si="12"/>
      </c>
      <c r="W27" s="34">
        <f t="shared" si="13"/>
      </c>
      <c r="Y27" s="220"/>
      <c r="AG27" s="165">
        <f t="shared" si="14"/>
        <v>0</v>
      </c>
    </row>
    <row r="28" spans="1:33" ht="12.75">
      <c r="A28" s="28"/>
      <c r="B28" s="33"/>
      <c r="C28" s="32"/>
      <c r="D28" s="89"/>
      <c r="E28" s="27"/>
      <c r="F28" s="214">
        <f t="shared" si="0"/>
        <v>0</v>
      </c>
      <c r="G28" s="169">
        <f t="shared" si="1"/>
        <v>0</v>
      </c>
      <c r="H28" s="224"/>
      <c r="I28" s="214">
        <f t="shared" si="2"/>
        <v>0</v>
      </c>
      <c r="J28" s="169">
        <f t="shared" si="3"/>
        <v>0</v>
      </c>
      <c r="K28" s="166"/>
      <c r="L28" s="210">
        <f t="shared" si="4"/>
        <v>0</v>
      </c>
      <c r="M28" s="212">
        <f t="shared" si="5"/>
        <v>0</v>
      </c>
      <c r="N28" s="166"/>
      <c r="O28" s="210">
        <f t="shared" si="6"/>
        <v>0</v>
      </c>
      <c r="P28" s="212">
        <f t="shared" si="7"/>
        <v>0</v>
      </c>
      <c r="Q28" s="166"/>
      <c r="R28" s="210">
        <f t="shared" si="8"/>
        <v>0</v>
      </c>
      <c r="S28" s="212">
        <f t="shared" si="9"/>
        <v>0</v>
      </c>
      <c r="T28" s="100">
        <f t="shared" si="10"/>
        <v>0</v>
      </c>
      <c r="U28" s="101">
        <f t="shared" si="11"/>
      </c>
      <c r="V28" s="104">
        <f t="shared" si="12"/>
      </c>
      <c r="W28" s="34">
        <f t="shared" si="13"/>
      </c>
      <c r="Y28" s="220"/>
      <c r="AG28" s="165">
        <f t="shared" si="14"/>
        <v>0</v>
      </c>
    </row>
    <row r="29" spans="1:33" ht="12.75">
      <c r="A29" s="28"/>
      <c r="B29" s="33"/>
      <c r="C29" s="32"/>
      <c r="D29" s="89"/>
      <c r="E29" s="27"/>
      <c r="F29" s="214">
        <f t="shared" si="0"/>
        <v>0</v>
      </c>
      <c r="G29" s="169">
        <f t="shared" si="1"/>
        <v>0</v>
      </c>
      <c r="H29" s="224"/>
      <c r="I29" s="214">
        <f t="shared" si="2"/>
        <v>0</v>
      </c>
      <c r="J29" s="169">
        <f t="shared" si="3"/>
        <v>0</v>
      </c>
      <c r="K29" s="166"/>
      <c r="L29" s="210">
        <f t="shared" si="4"/>
        <v>0</v>
      </c>
      <c r="M29" s="212">
        <f t="shared" si="5"/>
        <v>0</v>
      </c>
      <c r="N29" s="166"/>
      <c r="O29" s="210">
        <f t="shared" si="6"/>
        <v>0</v>
      </c>
      <c r="P29" s="212">
        <f t="shared" si="7"/>
        <v>0</v>
      </c>
      <c r="Q29" s="166"/>
      <c r="R29" s="210">
        <f t="shared" si="8"/>
        <v>0</v>
      </c>
      <c r="S29" s="212">
        <f t="shared" si="9"/>
        <v>0</v>
      </c>
      <c r="T29" s="100">
        <f t="shared" si="10"/>
        <v>0</v>
      </c>
      <c r="U29" s="101">
        <f t="shared" si="11"/>
      </c>
      <c r="V29" s="104">
        <f t="shared" si="12"/>
      </c>
      <c r="W29" s="34">
        <f t="shared" si="13"/>
      </c>
      <c r="Y29" s="220"/>
      <c r="AG29" s="165">
        <f>IF(D29="C",T29,0)</f>
        <v>0</v>
      </c>
    </row>
    <row r="30" spans="1:33" ht="12.75">
      <c r="A30" s="28"/>
      <c r="B30" s="33"/>
      <c r="C30" s="32"/>
      <c r="D30" s="89"/>
      <c r="E30" s="27"/>
      <c r="F30" s="214">
        <f t="shared" si="0"/>
        <v>0</v>
      </c>
      <c r="G30" s="169">
        <f t="shared" si="1"/>
        <v>0</v>
      </c>
      <c r="H30" s="224"/>
      <c r="I30" s="214">
        <f t="shared" si="2"/>
        <v>0</v>
      </c>
      <c r="J30" s="169">
        <f t="shared" si="3"/>
        <v>0</v>
      </c>
      <c r="K30" s="166"/>
      <c r="L30" s="210">
        <f t="shared" si="4"/>
        <v>0</v>
      </c>
      <c r="M30" s="212">
        <f t="shared" si="5"/>
        <v>0</v>
      </c>
      <c r="N30" s="166"/>
      <c r="O30" s="210">
        <f t="shared" si="6"/>
        <v>0</v>
      </c>
      <c r="P30" s="212">
        <f t="shared" si="7"/>
        <v>0</v>
      </c>
      <c r="Q30" s="166"/>
      <c r="R30" s="210">
        <f t="shared" si="8"/>
        <v>0</v>
      </c>
      <c r="S30" s="212">
        <f t="shared" si="9"/>
        <v>0</v>
      </c>
      <c r="T30" s="100">
        <f t="shared" si="10"/>
        <v>0</v>
      </c>
      <c r="U30" s="101">
        <f t="shared" si="11"/>
      </c>
      <c r="V30" s="104">
        <f t="shared" si="12"/>
      </c>
      <c r="W30" s="34">
        <f t="shared" si="13"/>
      </c>
      <c r="Y30" s="220"/>
      <c r="AG30" s="165">
        <f t="shared" si="14"/>
        <v>0</v>
      </c>
    </row>
    <row r="31" spans="1:33" ht="12.75">
      <c r="A31" s="28"/>
      <c r="B31" s="33"/>
      <c r="C31" s="32"/>
      <c r="D31" s="89"/>
      <c r="E31" s="27"/>
      <c r="F31" s="214">
        <f t="shared" si="0"/>
        <v>0</v>
      </c>
      <c r="G31" s="169">
        <f t="shared" si="1"/>
        <v>0</v>
      </c>
      <c r="H31" s="224"/>
      <c r="I31" s="214">
        <f t="shared" si="2"/>
        <v>0</v>
      </c>
      <c r="J31" s="169">
        <f t="shared" si="3"/>
        <v>0</v>
      </c>
      <c r="K31" s="166"/>
      <c r="L31" s="210">
        <f t="shared" si="4"/>
        <v>0</v>
      </c>
      <c r="M31" s="212">
        <f t="shared" si="5"/>
        <v>0</v>
      </c>
      <c r="N31" s="166"/>
      <c r="O31" s="210">
        <f t="shared" si="6"/>
        <v>0</v>
      </c>
      <c r="P31" s="212">
        <f t="shared" si="7"/>
        <v>0</v>
      </c>
      <c r="Q31" s="166"/>
      <c r="R31" s="210">
        <f t="shared" si="8"/>
        <v>0</v>
      </c>
      <c r="S31" s="212">
        <f t="shared" si="9"/>
        <v>0</v>
      </c>
      <c r="T31" s="100">
        <f t="shared" si="10"/>
        <v>0</v>
      </c>
      <c r="U31" s="101">
        <f t="shared" si="11"/>
      </c>
      <c r="V31" s="104">
        <f t="shared" si="12"/>
      </c>
      <c r="W31" s="34">
        <f t="shared" si="13"/>
      </c>
      <c r="Y31" s="220"/>
      <c r="AG31" s="165">
        <f t="shared" si="14"/>
        <v>0</v>
      </c>
    </row>
    <row r="32" spans="1:33" ht="12.75">
      <c r="A32" s="28"/>
      <c r="B32" s="33"/>
      <c r="C32" s="32"/>
      <c r="D32" s="89"/>
      <c r="E32" s="27"/>
      <c r="F32" s="214">
        <f t="shared" si="0"/>
        <v>0</v>
      </c>
      <c r="G32" s="169">
        <f t="shared" si="1"/>
        <v>0</v>
      </c>
      <c r="H32" s="224"/>
      <c r="I32" s="214">
        <f t="shared" si="2"/>
        <v>0</v>
      </c>
      <c r="J32" s="169">
        <f t="shared" si="3"/>
        <v>0</v>
      </c>
      <c r="K32" s="166"/>
      <c r="L32" s="210">
        <f t="shared" si="4"/>
        <v>0</v>
      </c>
      <c r="M32" s="212">
        <f t="shared" si="5"/>
        <v>0</v>
      </c>
      <c r="N32" s="166"/>
      <c r="O32" s="210">
        <f t="shared" si="6"/>
        <v>0</v>
      </c>
      <c r="P32" s="212">
        <f t="shared" si="7"/>
        <v>0</v>
      </c>
      <c r="Q32" s="166"/>
      <c r="R32" s="210">
        <f t="shared" si="8"/>
        <v>0</v>
      </c>
      <c r="S32" s="212">
        <f t="shared" si="9"/>
        <v>0</v>
      </c>
      <c r="T32" s="100">
        <f t="shared" si="10"/>
        <v>0</v>
      </c>
      <c r="U32" s="101">
        <f t="shared" si="11"/>
      </c>
      <c r="V32" s="104">
        <f t="shared" si="12"/>
      </c>
      <c r="W32" s="34">
        <f t="shared" si="13"/>
      </c>
      <c r="Y32" s="220"/>
      <c r="AG32" s="165">
        <f t="shared" si="14"/>
        <v>0</v>
      </c>
    </row>
    <row r="33" spans="1:33" ht="12.75">
      <c r="A33" s="28"/>
      <c r="B33" s="33"/>
      <c r="C33" s="32"/>
      <c r="D33" s="89"/>
      <c r="E33" s="27"/>
      <c r="F33" s="214">
        <f t="shared" si="0"/>
        <v>0</v>
      </c>
      <c r="G33" s="169">
        <f t="shared" si="1"/>
        <v>0</v>
      </c>
      <c r="H33" s="224"/>
      <c r="I33" s="214">
        <f t="shared" si="2"/>
        <v>0</v>
      </c>
      <c r="J33" s="169">
        <f t="shared" si="3"/>
        <v>0</v>
      </c>
      <c r="K33" s="166"/>
      <c r="L33" s="210">
        <f t="shared" si="4"/>
        <v>0</v>
      </c>
      <c r="M33" s="212">
        <f t="shared" si="5"/>
        <v>0</v>
      </c>
      <c r="N33" s="166"/>
      <c r="O33" s="210">
        <f t="shared" si="6"/>
        <v>0</v>
      </c>
      <c r="P33" s="212">
        <f t="shared" si="7"/>
        <v>0</v>
      </c>
      <c r="Q33" s="166"/>
      <c r="R33" s="210">
        <f t="shared" si="8"/>
        <v>0</v>
      </c>
      <c r="S33" s="212">
        <f t="shared" si="9"/>
        <v>0</v>
      </c>
      <c r="T33" s="100">
        <f t="shared" si="10"/>
        <v>0</v>
      </c>
      <c r="U33" s="101">
        <f t="shared" si="11"/>
      </c>
      <c r="V33" s="104">
        <f t="shared" si="12"/>
      </c>
      <c r="W33" s="34">
        <f t="shared" si="13"/>
      </c>
      <c r="Y33" s="220"/>
      <c r="AG33" s="165">
        <f t="shared" si="14"/>
        <v>0</v>
      </c>
    </row>
    <row r="34" spans="1:33" ht="12.75">
      <c r="A34" s="28"/>
      <c r="B34" s="33"/>
      <c r="C34" s="32"/>
      <c r="D34" s="89"/>
      <c r="E34" s="27"/>
      <c r="F34" s="214">
        <f t="shared" si="0"/>
        <v>0</v>
      </c>
      <c r="G34" s="169">
        <f t="shared" si="1"/>
        <v>0</v>
      </c>
      <c r="H34" s="224"/>
      <c r="I34" s="214">
        <f t="shared" si="2"/>
        <v>0</v>
      </c>
      <c r="J34" s="169">
        <f t="shared" si="3"/>
        <v>0</v>
      </c>
      <c r="K34" s="166"/>
      <c r="L34" s="210">
        <f t="shared" si="4"/>
        <v>0</v>
      </c>
      <c r="M34" s="212">
        <f t="shared" si="5"/>
        <v>0</v>
      </c>
      <c r="N34" s="166"/>
      <c r="O34" s="210">
        <f t="shared" si="6"/>
        <v>0</v>
      </c>
      <c r="P34" s="212">
        <f t="shared" si="7"/>
        <v>0</v>
      </c>
      <c r="Q34" s="166"/>
      <c r="R34" s="210">
        <f t="shared" si="8"/>
        <v>0</v>
      </c>
      <c r="S34" s="212">
        <f t="shared" si="9"/>
        <v>0</v>
      </c>
      <c r="T34" s="100">
        <f t="shared" si="10"/>
        <v>0</v>
      </c>
      <c r="U34" s="101">
        <f t="shared" si="11"/>
      </c>
      <c r="V34" s="104">
        <f t="shared" si="12"/>
      </c>
      <c r="W34" s="34">
        <f t="shared" si="13"/>
      </c>
      <c r="Y34" s="220"/>
      <c r="AG34" s="165">
        <f t="shared" si="14"/>
        <v>0</v>
      </c>
    </row>
    <row r="35" spans="1:33" ht="12.75">
      <c r="A35" s="28"/>
      <c r="B35" s="33"/>
      <c r="C35" s="32"/>
      <c r="D35" s="89"/>
      <c r="E35" s="27"/>
      <c r="F35" s="214">
        <f t="shared" si="0"/>
        <v>0</v>
      </c>
      <c r="G35" s="215">
        <f t="shared" si="1"/>
        <v>0</v>
      </c>
      <c r="H35" s="224"/>
      <c r="I35" s="214">
        <f t="shared" si="2"/>
        <v>0</v>
      </c>
      <c r="J35" s="215">
        <f t="shared" si="3"/>
        <v>0</v>
      </c>
      <c r="K35" s="166"/>
      <c r="L35" s="210">
        <f t="shared" si="4"/>
        <v>0</v>
      </c>
      <c r="M35" s="213">
        <f t="shared" si="5"/>
        <v>0</v>
      </c>
      <c r="N35" s="166"/>
      <c r="O35" s="210">
        <f t="shared" si="6"/>
        <v>0</v>
      </c>
      <c r="P35" s="213">
        <f t="shared" si="7"/>
        <v>0</v>
      </c>
      <c r="Q35" s="166"/>
      <c r="R35" s="210">
        <f t="shared" si="8"/>
        <v>0</v>
      </c>
      <c r="S35" s="213">
        <f t="shared" si="9"/>
        <v>0</v>
      </c>
      <c r="T35" s="100">
        <f t="shared" si="10"/>
        <v>0</v>
      </c>
      <c r="U35" s="101">
        <f t="shared" si="11"/>
      </c>
      <c r="V35" s="104">
        <f t="shared" si="12"/>
      </c>
      <c r="W35" s="34">
        <f t="shared" si="13"/>
      </c>
      <c r="Y35" s="220"/>
      <c r="AG35" s="165">
        <f>IF(D35="C",T35,0)</f>
        <v>0</v>
      </c>
    </row>
    <row r="36" spans="1:23" ht="12.75">
      <c r="A36" s="44"/>
      <c r="B36" s="44"/>
      <c r="C36" s="44"/>
      <c r="D36" s="97"/>
      <c r="E36" s="45"/>
      <c r="F36" s="45"/>
      <c r="G36" s="97"/>
      <c r="H36" s="45"/>
      <c r="I36" s="45"/>
      <c r="J36" s="97"/>
      <c r="K36" s="45"/>
      <c r="L36" s="45"/>
      <c r="M36" s="97"/>
      <c r="N36" s="45"/>
      <c r="O36" s="45"/>
      <c r="P36" s="97"/>
      <c r="Q36" s="45"/>
      <c r="R36" s="45"/>
      <c r="S36" s="97"/>
      <c r="T36" s="45"/>
      <c r="U36" s="45"/>
      <c r="V36" s="45"/>
      <c r="W36" s="45"/>
    </row>
  </sheetData>
  <sheetProtection sheet="1" objects="1" scenarios="1"/>
  <mergeCells count="2">
    <mergeCell ref="A1:V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91" r:id="rId1"/>
  <headerFooter alignWithMargins="0">
    <oddFooter>&amp;L&amp;8Point for Shot, Long Jump &amp; High Jump in accordance with IAAF Scoring Tables 2004
Points for 80m Hurdles &amp; 800m are in  accordance with ESAA Scoring Tables 2007
AAA Grade Tables 2007/2008&amp;R&amp;8NT = No Throw
NJ = No Jump
DNF = Did Not Finish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4"/>
    <pageSetUpPr fitToPage="1"/>
  </sheetPr>
  <dimension ref="A1:AG36"/>
  <sheetViews>
    <sheetView showZeros="0" zoomScalePageLayoutView="0" workbookViewId="0" topLeftCell="A1">
      <selection activeCell="I7" sqref="I7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5.7109375" style="0" bestFit="1" customWidth="1"/>
    <col min="4" max="4" width="3.28125" style="55" customWidth="1"/>
    <col min="5" max="5" width="7.8515625" style="10" customWidth="1"/>
    <col min="6" max="6" width="6.57421875" style="10" bestFit="1" customWidth="1"/>
    <col min="7" max="7" width="3.421875" style="55" bestFit="1" customWidth="1"/>
    <col min="8" max="8" width="7.57421875" style="10" customWidth="1"/>
    <col min="9" max="9" width="6.57421875" style="10" customWidth="1"/>
    <col min="10" max="10" width="3.421875" style="55" bestFit="1" customWidth="1"/>
    <col min="11" max="11" width="7.421875" style="10" customWidth="1"/>
    <col min="12" max="12" width="6.57421875" style="10" bestFit="1" customWidth="1"/>
    <col min="13" max="13" width="3.421875" style="55" bestFit="1" customWidth="1"/>
    <col min="14" max="14" width="7.421875" style="10" customWidth="1"/>
    <col min="15" max="15" width="6.57421875" style="10" bestFit="1" customWidth="1"/>
    <col min="16" max="16" width="3.421875" style="55" bestFit="1" customWidth="1"/>
    <col min="17" max="17" width="6.00390625" style="10" customWidth="1"/>
    <col min="18" max="18" width="6.57421875" style="10" bestFit="1" customWidth="1"/>
    <col min="19" max="19" width="3.421875" style="55" bestFit="1" customWidth="1"/>
    <col min="20" max="20" width="8.421875" style="10" bestFit="1" customWidth="1"/>
    <col min="21" max="21" width="7.28125" style="10" customWidth="1"/>
    <col min="22" max="22" width="8.7109375" style="10" bestFit="1" customWidth="1"/>
    <col min="23" max="23" width="0" style="10" hidden="1" customWidth="1"/>
    <col min="24" max="30" width="9.8515625" style="0" customWidth="1"/>
    <col min="33" max="33" width="0" style="0" hidden="1" customWidth="1"/>
  </cols>
  <sheetData>
    <row r="1" spans="1:33" ht="15.75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12.75">
      <c r="A2" s="60"/>
      <c r="B2" s="52"/>
      <c r="C2" s="52"/>
      <c r="D2" s="53"/>
      <c r="E2" s="54"/>
      <c r="F2" s="54"/>
      <c r="G2" s="54"/>
      <c r="H2" s="240" t="s">
        <v>128</v>
      </c>
      <c r="I2" s="240"/>
      <c r="J2" s="240"/>
      <c r="K2" s="240"/>
      <c r="L2" s="240"/>
      <c r="M2" s="198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55"/>
      <c r="AA3" s="55"/>
      <c r="AB3" s="55"/>
      <c r="AC3" s="55"/>
      <c r="AD3" s="55"/>
      <c r="AE3" s="55"/>
      <c r="AF3" s="106"/>
      <c r="AG3" s="53"/>
    </row>
    <row r="4" spans="1:33" ht="12.75">
      <c r="A4" s="59" t="s">
        <v>64</v>
      </c>
      <c r="B4" s="59"/>
      <c r="C4" s="60" t="str">
        <f>ArrangedBy</f>
        <v>Handforth W A A C</v>
      </c>
      <c r="D4" s="54"/>
      <c r="E4" s="55"/>
      <c r="F4" s="55"/>
      <c r="H4" s="61" t="s">
        <v>62</v>
      </c>
      <c r="I4" s="62"/>
      <c r="K4" s="63" t="s">
        <v>60</v>
      </c>
      <c r="L4" s="55"/>
      <c r="N4" s="55"/>
      <c r="O4" s="54"/>
      <c r="Q4" s="54"/>
      <c r="R4" s="62" t="s">
        <v>87</v>
      </c>
      <c r="T4" s="63" t="str">
        <f>Date</f>
        <v>3rd July 2008</v>
      </c>
      <c r="U4" s="63"/>
      <c r="V4" s="63"/>
      <c r="W4" s="54"/>
      <c r="X4" s="63"/>
      <c r="Y4" s="63"/>
      <c r="Z4" s="63"/>
      <c r="AA4" s="63"/>
      <c r="AB4" s="63"/>
      <c r="AC4" s="63"/>
      <c r="AD4" s="63"/>
      <c r="AE4" s="63"/>
      <c r="AF4" s="54"/>
      <c r="AG4" s="55"/>
    </row>
    <row r="5" spans="1:33" ht="12.75">
      <c r="A5" s="59" t="s">
        <v>65</v>
      </c>
      <c r="B5" s="59"/>
      <c r="C5" s="60">
        <f>Sponsor</f>
        <v>0</v>
      </c>
      <c r="D5" s="54"/>
      <c r="E5" s="55"/>
      <c r="F5" s="55"/>
      <c r="H5" s="61" t="s">
        <v>63</v>
      </c>
      <c r="I5" s="62"/>
      <c r="K5" s="63" t="s">
        <v>61</v>
      </c>
      <c r="L5" s="55"/>
      <c r="N5" s="55"/>
      <c r="O5" s="54"/>
      <c r="Q5" s="54"/>
      <c r="R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1:33" s="24" customFormat="1" ht="38.25">
      <c r="A6" s="35" t="s">
        <v>0</v>
      </c>
      <c r="B6" s="36" t="s">
        <v>1</v>
      </c>
      <c r="C6" s="36" t="s">
        <v>2</v>
      </c>
      <c r="D6" s="66" t="s">
        <v>89</v>
      </c>
      <c r="E6" s="38" t="s">
        <v>162</v>
      </c>
      <c r="F6" s="217" t="s">
        <v>11</v>
      </c>
      <c r="G6" s="208" t="s">
        <v>208</v>
      </c>
      <c r="H6" s="37" t="s">
        <v>4</v>
      </c>
      <c r="I6" s="217" t="s">
        <v>11</v>
      </c>
      <c r="J6" s="208" t="s">
        <v>208</v>
      </c>
      <c r="K6" s="39" t="s">
        <v>50</v>
      </c>
      <c r="L6" s="218" t="s">
        <v>11</v>
      </c>
      <c r="M6" s="211" t="s">
        <v>208</v>
      </c>
      <c r="N6" s="39" t="s">
        <v>52</v>
      </c>
      <c r="O6" s="218" t="s">
        <v>11</v>
      </c>
      <c r="P6" s="211" t="s">
        <v>208</v>
      </c>
      <c r="Q6" s="40" t="s">
        <v>22</v>
      </c>
      <c r="R6" s="218" t="s">
        <v>11</v>
      </c>
      <c r="S6" s="211" t="s">
        <v>208</v>
      </c>
      <c r="T6" s="41" t="s">
        <v>69</v>
      </c>
      <c r="U6" s="66" t="s">
        <v>129</v>
      </c>
      <c r="V6" s="73" t="s">
        <v>130</v>
      </c>
      <c r="W6" s="42" t="s">
        <v>38</v>
      </c>
      <c r="X6" s="23"/>
      <c r="Y6" s="23"/>
      <c r="Z6" s="23"/>
      <c r="AA6" s="23"/>
      <c r="AB6" s="23"/>
      <c r="AC6" s="23"/>
      <c r="AD6" s="23"/>
      <c r="AG6" s="164" t="s">
        <v>93</v>
      </c>
    </row>
    <row r="7" spans="1:33" s="1" customFormat="1" ht="12.75">
      <c r="A7" s="28">
        <v>88</v>
      </c>
      <c r="B7" s="29" t="s">
        <v>142</v>
      </c>
      <c r="C7" s="32" t="s">
        <v>78</v>
      </c>
      <c r="D7" s="89" t="s">
        <v>91</v>
      </c>
      <c r="E7" s="25">
        <v>13.5</v>
      </c>
      <c r="F7" s="206">
        <f aca="true" t="shared" si="0" ref="F7:F35">IF(E7="DNF",0,IF(E7=0,0,IF(E7&gt;22.7,"0",VLOOKUP(ROUNDUP(E7,1),T_ESAA_U15G_75mH,2,TRUE))))</f>
        <v>521</v>
      </c>
      <c r="G7" s="169" t="str">
        <f aca="true" t="shared" si="1" ref="G7:G35">IF(F7=0,0,IF(E7&lt;=INDEX(AAA_U15G_75mH,1,1),"G1",IF(E7&lt;=INDEX(AAA_U15G_75mH,1,2),"G2",IF(E7&lt;=INDEX(AAA_U15G_75mH,1,3),"G3",IF(E7&lt;=INDEX(AAA_U15G_75mH,1,4),"G4",0)))))</f>
        <v>G4</v>
      </c>
      <c r="H7" s="224">
        <v>0.001991898148148148</v>
      </c>
      <c r="I7" s="214">
        <f aca="true" t="shared" si="2" ref="I7:I35">IF(H7="DNF",0,IF(H7=0,0,ROUNDDOWN(INDEX(WP_800m,1,3)*(INDEX(WP_800m,1,4)-H7*24*60*60)^INDEX(WP_800m,1,5),0)))</f>
        <v>442</v>
      </c>
      <c r="J7" s="169">
        <f aca="true" t="shared" si="3" ref="J7:J35">IF(I7=0,0,IF(H7&lt;=INDEX(AAA_U15G_800m,1,1),"G1",IF(H7&lt;=INDEX(AAA_U15G_800m,1,2),"G2",IF(H7&lt;=INDEX(AAA_U15G_800m,1,3),"G3",IF(H7&lt;=INDEX(AAA_U15G_800m,1,4),"G4",0)))))</f>
        <v>0</v>
      </c>
      <c r="K7" s="26">
        <v>4.08</v>
      </c>
      <c r="L7" s="210">
        <f aca="true" t="shared" si="4" ref="L7:L35">IF(K7="NJ",0,IF(K7=0,0,ROUNDDOWN(INDEX(WP_LJ,1,3)*(K7*100-INDEX(WP_LJ,1,4))^INDEX(WP_LJ,1,5),0)))</f>
        <v>326</v>
      </c>
      <c r="M7" s="212">
        <f aca="true" t="shared" si="5" ref="M7:M35">IF(L7=0,0,IF(K7&gt;=INDEX(AAA_U15G_LJ,1,1),"G1",IF(K7&gt;=INDEX(AAA_U15G_LJ,1,2),"G2",IF(K7&gt;=INDEX(AAA_U15G_LJ,1,3),"G3",IF(K7&gt;=INDEX(AAA_U15G_LJ,1,4),"G4",0)))))</f>
        <v>0</v>
      </c>
      <c r="N7" s="26">
        <v>1.27</v>
      </c>
      <c r="O7" s="210">
        <f aca="true" t="shared" si="6" ref="O7:O35">IF(N7="NJ",0,IF(N7=0,0,ROUNDDOWN(INDEX(WP_HJ,1,3)*(N7*100-INDEX(WP_HJ,1,4))^INDEX(WP_HJ,1,5),0)))</f>
        <v>379</v>
      </c>
      <c r="P7" s="212">
        <f aca="true" t="shared" si="7" ref="P7:P35">IF(O7=0,0,IF(N7&gt;=INDEX(AAA_U15G_HJ,1,1),"G1",IF(N7&gt;=INDEX(AAA_U15G_HJ,1,2),"G2",IF(N7&gt;=INDEX(AAA_U15G_HJ,1,3),"G3",IF(N7&gt;=INDEX(AAA_U15G_HJ,1,4),"G4",0)))))</f>
        <v>0</v>
      </c>
      <c r="Q7" s="26">
        <v>6.6</v>
      </c>
      <c r="R7" s="210">
        <f aca="true" t="shared" si="8" ref="R7:R35">IF(Q7="NT",0,IF(Q7=0,0,ROUNDDOWN(INDEX(WP_Shot,1,3)*(Q7-INDEX(WP_Shot,1,4))^INDEX(WP_Shot,1,5),0)))</f>
        <v>309</v>
      </c>
      <c r="S7" s="212" t="str">
        <f aca="true" t="shared" si="9" ref="S7:S35">IF(R7=0,0,IF(Q7&gt;=INDEX(AAA_U15G_Shot,1,1),"G1",IF(Q7&gt;=INDEX(AAA_U15G_Shot,1,2),"G2",IF(Q7&gt;=INDEX(AAA_U15G_Shot,1,3),"G3",IF(Q7&gt;=INDEX(AAA_U15G_Shot,1,4),"G4",0)))))</f>
        <v>G4</v>
      </c>
      <c r="T7" s="100">
        <f aca="true" t="shared" si="10" ref="T7:T35">SUM(F7,I7,L7,O7,,R7)</f>
        <v>1977</v>
      </c>
      <c r="U7" s="101">
        <f aca="true" t="shared" si="11" ref="U7:U35">IF(AG7=0,"",RANK(T7,AG$7:AG$35))</f>
        <v>3</v>
      </c>
      <c r="V7" s="104">
        <f aca="true" t="shared" si="12" ref="V7:V35">IF(T7=0,"",RANK(T7,T$7:T$35))</f>
        <v>10</v>
      </c>
      <c r="W7" s="34" t="str">
        <f aca="true" t="shared" si="13" ref="W7:W35">IF(T7&lt;15,"",HLOOKUP(T7,T_U15B_3_Events,7))</f>
        <v>5*</v>
      </c>
      <c r="X7" s="2"/>
      <c r="Y7" s="2"/>
      <c r="Z7" s="2"/>
      <c r="AA7" s="2"/>
      <c r="AB7" s="2"/>
      <c r="AC7" s="2"/>
      <c r="AD7" s="2"/>
      <c r="AG7" s="165">
        <f aca="true" t="shared" si="14" ref="AG7:AG34">IF(D7="C",T7,0)</f>
        <v>1977</v>
      </c>
    </row>
    <row r="8" spans="1:33" s="1" customFormat="1" ht="12.75">
      <c r="A8" s="30">
        <v>89</v>
      </c>
      <c r="B8" s="29" t="s">
        <v>143</v>
      </c>
      <c r="C8" s="32" t="s">
        <v>78</v>
      </c>
      <c r="D8" s="89" t="s">
        <v>91</v>
      </c>
      <c r="E8" s="25">
        <v>13</v>
      </c>
      <c r="F8" s="206">
        <f t="shared" si="0"/>
        <v>568</v>
      </c>
      <c r="G8" s="169" t="str">
        <f t="shared" si="1"/>
        <v>G3</v>
      </c>
      <c r="H8" s="224">
        <v>0.0017685185185185184</v>
      </c>
      <c r="I8" s="214">
        <f t="shared" si="2"/>
        <v>658</v>
      </c>
      <c r="J8" s="169" t="str">
        <f t="shared" si="3"/>
        <v>G4</v>
      </c>
      <c r="K8" s="26">
        <v>4.49</v>
      </c>
      <c r="L8" s="210">
        <f t="shared" si="4"/>
        <v>426</v>
      </c>
      <c r="M8" s="212" t="str">
        <f t="shared" si="5"/>
        <v>G3</v>
      </c>
      <c r="N8" s="26">
        <v>1.39</v>
      </c>
      <c r="O8" s="210">
        <f t="shared" si="6"/>
        <v>502</v>
      </c>
      <c r="P8" s="212" t="str">
        <f t="shared" si="7"/>
        <v>G4</v>
      </c>
      <c r="Q8" s="26">
        <v>7.55</v>
      </c>
      <c r="R8" s="210">
        <f t="shared" si="8"/>
        <v>370</v>
      </c>
      <c r="S8" s="212" t="str">
        <f t="shared" si="9"/>
        <v>G4</v>
      </c>
      <c r="T8" s="100">
        <f t="shared" si="10"/>
        <v>2524</v>
      </c>
      <c r="U8" s="101">
        <f t="shared" si="11"/>
        <v>2</v>
      </c>
      <c r="V8" s="104">
        <f t="shared" si="12"/>
        <v>4</v>
      </c>
      <c r="W8" s="34" t="str">
        <f t="shared" si="13"/>
        <v>5*</v>
      </c>
      <c r="Z8" s="2"/>
      <c r="AG8" s="165">
        <f t="shared" si="14"/>
        <v>2524</v>
      </c>
    </row>
    <row r="9" spans="1:33" s="1" customFormat="1" ht="12.75">
      <c r="A9" s="30">
        <v>90</v>
      </c>
      <c r="B9" s="29" t="s">
        <v>144</v>
      </c>
      <c r="C9" s="32" t="s">
        <v>156</v>
      </c>
      <c r="D9" s="89" t="s">
        <v>92</v>
      </c>
      <c r="E9" s="25">
        <v>14.6</v>
      </c>
      <c r="F9" s="206">
        <f t="shared" si="0"/>
        <v>430</v>
      </c>
      <c r="G9" s="169">
        <f t="shared" si="1"/>
        <v>0</v>
      </c>
      <c r="H9" s="224">
        <v>0.0021562499999999997</v>
      </c>
      <c r="I9" s="214">
        <f t="shared" si="2"/>
        <v>309</v>
      </c>
      <c r="J9" s="169">
        <f t="shared" si="3"/>
        <v>0</v>
      </c>
      <c r="K9" s="26">
        <v>4.13</v>
      </c>
      <c r="L9" s="210">
        <f t="shared" si="4"/>
        <v>338</v>
      </c>
      <c r="M9" s="212">
        <f t="shared" si="5"/>
        <v>0</v>
      </c>
      <c r="N9" s="26">
        <v>1.42</v>
      </c>
      <c r="O9" s="210">
        <f t="shared" si="6"/>
        <v>534</v>
      </c>
      <c r="P9" s="212" t="str">
        <f t="shared" si="7"/>
        <v>G4</v>
      </c>
      <c r="Q9" s="26">
        <v>6.07</v>
      </c>
      <c r="R9" s="210">
        <f t="shared" si="8"/>
        <v>276</v>
      </c>
      <c r="S9" s="212">
        <f t="shared" si="9"/>
        <v>0</v>
      </c>
      <c r="T9" s="100">
        <f t="shared" si="10"/>
        <v>1887</v>
      </c>
      <c r="U9" s="101">
        <f t="shared" si="11"/>
      </c>
      <c r="V9" s="104">
        <f t="shared" si="12"/>
        <v>13</v>
      </c>
      <c r="W9" s="34" t="str">
        <f t="shared" si="13"/>
        <v>5*</v>
      </c>
      <c r="Z9" s="2"/>
      <c r="AG9" s="165">
        <f t="shared" si="14"/>
        <v>0</v>
      </c>
    </row>
    <row r="10" spans="1:33" s="1" customFormat="1" ht="12.75">
      <c r="A10" s="28">
        <v>91</v>
      </c>
      <c r="B10" s="29" t="s">
        <v>145</v>
      </c>
      <c r="C10" s="32" t="s">
        <v>76</v>
      </c>
      <c r="D10" s="89" t="s">
        <v>92</v>
      </c>
      <c r="E10" s="25">
        <v>24.9</v>
      </c>
      <c r="F10" s="206" t="str">
        <f t="shared" si="0"/>
        <v>0</v>
      </c>
      <c r="G10" s="169">
        <f t="shared" si="1"/>
        <v>0</v>
      </c>
      <c r="H10" s="224">
        <v>0.0020810185185185185</v>
      </c>
      <c r="I10" s="214">
        <f t="shared" si="2"/>
        <v>367</v>
      </c>
      <c r="J10" s="169">
        <f t="shared" si="3"/>
        <v>0</v>
      </c>
      <c r="K10" s="26">
        <v>3.61</v>
      </c>
      <c r="L10" s="210">
        <f t="shared" si="4"/>
        <v>223</v>
      </c>
      <c r="M10" s="212">
        <f t="shared" si="5"/>
        <v>0</v>
      </c>
      <c r="N10" s="26">
        <v>1.27</v>
      </c>
      <c r="O10" s="210">
        <f t="shared" si="6"/>
        <v>379</v>
      </c>
      <c r="P10" s="212">
        <f t="shared" si="7"/>
        <v>0</v>
      </c>
      <c r="Q10" s="26">
        <v>5.07</v>
      </c>
      <c r="R10" s="210">
        <f t="shared" si="8"/>
        <v>213</v>
      </c>
      <c r="S10" s="212">
        <f t="shared" si="9"/>
        <v>0</v>
      </c>
      <c r="T10" s="100">
        <f t="shared" si="10"/>
        <v>1182</v>
      </c>
      <c r="U10" s="101">
        <f t="shared" si="11"/>
      </c>
      <c r="V10" s="104">
        <f t="shared" si="12"/>
        <v>20</v>
      </c>
      <c r="W10" s="34" t="str">
        <f t="shared" si="13"/>
        <v>5*</v>
      </c>
      <c r="Z10" s="2"/>
      <c r="AE10" s="3"/>
      <c r="AG10" s="165">
        <f t="shared" si="14"/>
        <v>0</v>
      </c>
    </row>
    <row r="11" spans="1:33" s="1" customFormat="1" ht="12.75">
      <c r="A11" s="30">
        <v>92</v>
      </c>
      <c r="B11" s="29" t="s">
        <v>53</v>
      </c>
      <c r="C11" s="32" t="s">
        <v>76</v>
      </c>
      <c r="D11" s="89" t="s">
        <v>92</v>
      </c>
      <c r="E11" s="25">
        <v>14.6</v>
      </c>
      <c r="F11" s="206">
        <f t="shared" si="0"/>
        <v>430</v>
      </c>
      <c r="G11" s="169">
        <f t="shared" si="1"/>
        <v>0</v>
      </c>
      <c r="H11" s="224">
        <v>0.001990740740740741</v>
      </c>
      <c r="I11" s="214">
        <f t="shared" si="2"/>
        <v>443</v>
      </c>
      <c r="J11" s="169">
        <f t="shared" si="3"/>
        <v>0</v>
      </c>
      <c r="K11" s="26">
        <v>4.14</v>
      </c>
      <c r="L11" s="210">
        <f t="shared" si="4"/>
        <v>340</v>
      </c>
      <c r="M11" s="212">
        <f t="shared" si="5"/>
        <v>0</v>
      </c>
      <c r="N11" s="26">
        <v>1.27</v>
      </c>
      <c r="O11" s="210">
        <f t="shared" si="6"/>
        <v>379</v>
      </c>
      <c r="P11" s="212">
        <f t="shared" si="7"/>
        <v>0</v>
      </c>
      <c r="Q11" s="26">
        <v>6.59</v>
      </c>
      <c r="R11" s="210">
        <f t="shared" si="8"/>
        <v>309</v>
      </c>
      <c r="S11" s="212" t="str">
        <f t="shared" si="9"/>
        <v>G4</v>
      </c>
      <c r="T11" s="100">
        <f t="shared" si="10"/>
        <v>1901</v>
      </c>
      <c r="U11" s="101">
        <f t="shared" si="11"/>
      </c>
      <c r="V11" s="104">
        <f t="shared" si="12"/>
        <v>12</v>
      </c>
      <c r="W11" s="34" t="str">
        <f t="shared" si="13"/>
        <v>5*</v>
      </c>
      <c r="Z11" s="2"/>
      <c r="AE11" s="3"/>
      <c r="AG11" s="165">
        <f t="shared" si="14"/>
        <v>0</v>
      </c>
    </row>
    <row r="12" spans="1:33" s="1" customFormat="1" ht="12.75">
      <c r="A12" s="30">
        <v>93</v>
      </c>
      <c r="B12" s="29" t="s">
        <v>146</v>
      </c>
      <c r="C12" s="32" t="s">
        <v>74</v>
      </c>
      <c r="D12" s="89" t="s">
        <v>92</v>
      </c>
      <c r="E12" s="25">
        <v>13.9</v>
      </c>
      <c r="F12" s="206">
        <f t="shared" si="0"/>
        <v>489</v>
      </c>
      <c r="G12" s="169" t="str">
        <f t="shared" si="1"/>
        <v>G4</v>
      </c>
      <c r="H12" s="224">
        <v>0.001959490740740741</v>
      </c>
      <c r="I12" s="214">
        <f t="shared" si="2"/>
        <v>471</v>
      </c>
      <c r="J12" s="169">
        <f t="shared" si="3"/>
        <v>0</v>
      </c>
      <c r="K12" s="26">
        <v>4.14</v>
      </c>
      <c r="L12" s="210">
        <f t="shared" si="4"/>
        <v>340</v>
      </c>
      <c r="M12" s="212">
        <f t="shared" si="5"/>
        <v>0</v>
      </c>
      <c r="N12" s="26">
        <v>1.36</v>
      </c>
      <c r="O12" s="210">
        <f t="shared" si="6"/>
        <v>470</v>
      </c>
      <c r="P12" s="212" t="str">
        <f t="shared" si="7"/>
        <v>G4</v>
      </c>
      <c r="Q12" s="26">
        <v>8.03</v>
      </c>
      <c r="R12" s="210">
        <f t="shared" si="8"/>
        <v>401</v>
      </c>
      <c r="S12" s="212" t="str">
        <f t="shared" si="9"/>
        <v>G3</v>
      </c>
      <c r="T12" s="100">
        <f t="shared" si="10"/>
        <v>2171</v>
      </c>
      <c r="U12" s="101">
        <f t="shared" si="11"/>
      </c>
      <c r="V12" s="104">
        <f t="shared" si="12"/>
        <v>7</v>
      </c>
      <c r="W12" s="34" t="str">
        <f t="shared" si="13"/>
        <v>5*</v>
      </c>
      <c r="Z12" s="2"/>
      <c r="AE12" s="3"/>
      <c r="AG12" s="165">
        <f t="shared" si="14"/>
        <v>0</v>
      </c>
    </row>
    <row r="13" spans="1:33" s="1" customFormat="1" ht="12.75">
      <c r="A13" s="28">
        <v>94</v>
      </c>
      <c r="B13" s="29" t="s">
        <v>147</v>
      </c>
      <c r="C13" s="32" t="s">
        <v>74</v>
      </c>
      <c r="D13" s="89" t="s">
        <v>91</v>
      </c>
      <c r="E13" s="25">
        <v>18.6</v>
      </c>
      <c r="F13" s="206">
        <f t="shared" si="0"/>
        <v>175</v>
      </c>
      <c r="G13" s="169">
        <f t="shared" si="1"/>
        <v>0</v>
      </c>
      <c r="H13" s="224">
        <v>0.0025011574074074072</v>
      </c>
      <c r="I13" s="214">
        <f t="shared" si="2"/>
        <v>103</v>
      </c>
      <c r="J13" s="169">
        <f t="shared" si="3"/>
        <v>0</v>
      </c>
      <c r="K13" s="26">
        <v>3.52</v>
      </c>
      <c r="L13" s="210">
        <f t="shared" si="4"/>
        <v>204</v>
      </c>
      <c r="M13" s="212">
        <f t="shared" si="5"/>
        <v>0</v>
      </c>
      <c r="N13" s="26" t="s">
        <v>168</v>
      </c>
      <c r="O13" s="210">
        <f t="shared" si="6"/>
        <v>0</v>
      </c>
      <c r="P13" s="212">
        <f t="shared" si="7"/>
        <v>0</v>
      </c>
      <c r="Q13" s="26">
        <v>6.06</v>
      </c>
      <c r="R13" s="210">
        <f t="shared" si="8"/>
        <v>275</v>
      </c>
      <c r="S13" s="212">
        <f t="shared" si="9"/>
        <v>0</v>
      </c>
      <c r="T13" s="100">
        <f t="shared" si="10"/>
        <v>757</v>
      </c>
      <c r="U13" s="101">
        <f t="shared" si="11"/>
        <v>9</v>
      </c>
      <c r="V13" s="104">
        <f t="shared" si="12"/>
        <v>21</v>
      </c>
      <c r="W13" s="34" t="str">
        <f t="shared" si="13"/>
        <v>5*</v>
      </c>
      <c r="Z13" s="2"/>
      <c r="AE13" s="3"/>
      <c r="AG13" s="165">
        <f t="shared" si="14"/>
        <v>757</v>
      </c>
    </row>
    <row r="14" spans="1:33" s="1" customFormat="1" ht="12.75">
      <c r="A14" s="28">
        <v>95</v>
      </c>
      <c r="B14" s="29" t="s">
        <v>54</v>
      </c>
      <c r="C14" s="32" t="s">
        <v>74</v>
      </c>
      <c r="D14" s="89" t="s">
        <v>91</v>
      </c>
      <c r="E14" s="25">
        <v>14</v>
      </c>
      <c r="F14" s="206">
        <f t="shared" si="0"/>
        <v>480</v>
      </c>
      <c r="G14" s="169" t="str">
        <f t="shared" si="1"/>
        <v>G4</v>
      </c>
      <c r="H14" s="224">
        <v>0.001880787037037037</v>
      </c>
      <c r="I14" s="214">
        <f t="shared" si="2"/>
        <v>545</v>
      </c>
      <c r="J14" s="169">
        <f t="shared" si="3"/>
        <v>0</v>
      </c>
      <c r="K14" s="26">
        <v>3.29</v>
      </c>
      <c r="L14" s="210">
        <f t="shared" si="4"/>
        <v>159</v>
      </c>
      <c r="M14" s="212">
        <f t="shared" si="5"/>
        <v>0</v>
      </c>
      <c r="N14" s="26">
        <v>1.3</v>
      </c>
      <c r="O14" s="210">
        <f t="shared" si="6"/>
        <v>409</v>
      </c>
      <c r="P14" s="212">
        <f t="shared" si="7"/>
        <v>0</v>
      </c>
      <c r="Q14" s="26">
        <v>5.9</v>
      </c>
      <c r="R14" s="210">
        <f t="shared" si="8"/>
        <v>265</v>
      </c>
      <c r="S14" s="212">
        <f t="shared" si="9"/>
        <v>0</v>
      </c>
      <c r="T14" s="100">
        <f t="shared" si="10"/>
        <v>1858</v>
      </c>
      <c r="U14" s="101">
        <f t="shared" si="11"/>
        <v>5</v>
      </c>
      <c r="V14" s="104">
        <f t="shared" si="12"/>
        <v>14</v>
      </c>
      <c r="W14" s="34" t="str">
        <f t="shared" si="13"/>
        <v>5*</v>
      </c>
      <c r="Z14" s="2"/>
      <c r="AE14" s="3"/>
      <c r="AG14" s="165">
        <f t="shared" si="14"/>
        <v>1858</v>
      </c>
    </row>
    <row r="15" spans="1:33" s="1" customFormat="1" ht="12.75">
      <c r="A15" s="28">
        <v>96</v>
      </c>
      <c r="B15" s="29" t="s">
        <v>148</v>
      </c>
      <c r="C15" s="32" t="s">
        <v>74</v>
      </c>
      <c r="D15" s="89" t="s">
        <v>92</v>
      </c>
      <c r="E15" s="25">
        <v>13.5</v>
      </c>
      <c r="F15" s="206">
        <f t="shared" si="0"/>
        <v>521</v>
      </c>
      <c r="G15" s="169" t="str">
        <f t="shared" si="1"/>
        <v>G4</v>
      </c>
      <c r="H15" s="224">
        <v>0.002013888888888889</v>
      </c>
      <c r="I15" s="214">
        <f t="shared" si="2"/>
        <v>423</v>
      </c>
      <c r="J15" s="169">
        <f t="shared" si="3"/>
        <v>0</v>
      </c>
      <c r="K15" s="26">
        <v>4.5</v>
      </c>
      <c r="L15" s="210">
        <f t="shared" si="4"/>
        <v>428</v>
      </c>
      <c r="M15" s="212" t="str">
        <f t="shared" si="5"/>
        <v>G3</v>
      </c>
      <c r="N15" s="26">
        <v>1.36</v>
      </c>
      <c r="O15" s="210">
        <f t="shared" si="6"/>
        <v>470</v>
      </c>
      <c r="P15" s="212" t="str">
        <f t="shared" si="7"/>
        <v>G4</v>
      </c>
      <c r="Q15" s="26">
        <v>8.56</v>
      </c>
      <c r="R15" s="210">
        <f t="shared" si="8"/>
        <v>436</v>
      </c>
      <c r="S15" s="212" t="str">
        <f t="shared" si="9"/>
        <v>G2</v>
      </c>
      <c r="T15" s="100">
        <f t="shared" si="10"/>
        <v>2278</v>
      </c>
      <c r="U15" s="101">
        <f t="shared" si="11"/>
      </c>
      <c r="V15" s="104">
        <f t="shared" si="12"/>
        <v>5</v>
      </c>
      <c r="W15" s="34" t="str">
        <f t="shared" si="13"/>
        <v>5*</v>
      </c>
      <c r="Z15" s="2"/>
      <c r="AE15" s="3"/>
      <c r="AG15" s="165">
        <f t="shared" si="14"/>
        <v>0</v>
      </c>
    </row>
    <row r="16" spans="1:33" s="1" customFormat="1" ht="12.75">
      <c r="A16" s="28">
        <v>97</v>
      </c>
      <c r="B16" s="29" t="s">
        <v>149</v>
      </c>
      <c r="C16" s="32" t="s">
        <v>74</v>
      </c>
      <c r="D16" s="89" t="s">
        <v>92</v>
      </c>
      <c r="E16" s="25">
        <v>12.4</v>
      </c>
      <c r="F16" s="206">
        <f t="shared" si="0"/>
        <v>630</v>
      </c>
      <c r="G16" s="169" t="str">
        <f t="shared" si="1"/>
        <v>G2</v>
      </c>
      <c r="H16" s="224">
        <v>0.0021180555555555553</v>
      </c>
      <c r="I16" s="214">
        <f t="shared" si="2"/>
        <v>338</v>
      </c>
      <c r="J16" s="169">
        <f t="shared" si="3"/>
        <v>0</v>
      </c>
      <c r="K16" s="26">
        <v>4.01</v>
      </c>
      <c r="L16" s="210">
        <f t="shared" si="4"/>
        <v>310</v>
      </c>
      <c r="M16" s="212">
        <f t="shared" si="5"/>
        <v>0</v>
      </c>
      <c r="N16" s="26">
        <v>1.39</v>
      </c>
      <c r="O16" s="210">
        <f t="shared" si="6"/>
        <v>502</v>
      </c>
      <c r="P16" s="212" t="str">
        <f t="shared" si="7"/>
        <v>G4</v>
      </c>
      <c r="Q16" s="26">
        <v>8.76</v>
      </c>
      <c r="R16" s="210">
        <f t="shared" si="8"/>
        <v>449</v>
      </c>
      <c r="S16" s="212" t="str">
        <f t="shared" si="9"/>
        <v>G2</v>
      </c>
      <c r="T16" s="100">
        <f t="shared" si="10"/>
        <v>2229</v>
      </c>
      <c r="U16" s="101">
        <f t="shared" si="11"/>
      </c>
      <c r="V16" s="104">
        <f t="shared" si="12"/>
        <v>6</v>
      </c>
      <c r="W16" s="34" t="str">
        <f t="shared" si="13"/>
        <v>5*</v>
      </c>
      <c r="Z16" s="2"/>
      <c r="AE16" s="3"/>
      <c r="AG16" s="165">
        <f t="shared" si="14"/>
        <v>0</v>
      </c>
    </row>
    <row r="17" spans="1:33" s="1" customFormat="1" ht="12.75">
      <c r="A17" s="30">
        <v>98</v>
      </c>
      <c r="B17" s="29" t="s">
        <v>150</v>
      </c>
      <c r="C17" s="32" t="s">
        <v>74</v>
      </c>
      <c r="D17" s="89" t="s">
        <v>92</v>
      </c>
      <c r="E17" s="25">
        <v>15.9</v>
      </c>
      <c r="F17" s="206">
        <f t="shared" si="0"/>
        <v>334</v>
      </c>
      <c r="G17" s="169">
        <f t="shared" si="1"/>
        <v>0</v>
      </c>
      <c r="H17" s="224">
        <v>0.001980324074074074</v>
      </c>
      <c r="I17" s="214">
        <f t="shared" si="2"/>
        <v>452</v>
      </c>
      <c r="J17" s="169">
        <f t="shared" si="3"/>
        <v>0</v>
      </c>
      <c r="K17" s="26">
        <v>4.61</v>
      </c>
      <c r="L17" s="210">
        <f t="shared" si="4"/>
        <v>456</v>
      </c>
      <c r="M17" s="212" t="str">
        <f t="shared" si="5"/>
        <v>G3</v>
      </c>
      <c r="N17" s="26">
        <v>1.39</v>
      </c>
      <c r="O17" s="210">
        <f t="shared" si="6"/>
        <v>502</v>
      </c>
      <c r="P17" s="212" t="str">
        <f t="shared" si="7"/>
        <v>G4</v>
      </c>
      <c r="Q17" s="26">
        <v>8.29</v>
      </c>
      <c r="R17" s="210">
        <f t="shared" si="8"/>
        <v>418</v>
      </c>
      <c r="S17" s="212" t="str">
        <f t="shared" si="9"/>
        <v>G3</v>
      </c>
      <c r="T17" s="100">
        <f t="shared" si="10"/>
        <v>2162</v>
      </c>
      <c r="U17" s="101">
        <f t="shared" si="11"/>
      </c>
      <c r="V17" s="104">
        <f t="shared" si="12"/>
        <v>9</v>
      </c>
      <c r="W17" s="34" t="str">
        <f t="shared" si="13"/>
        <v>5*</v>
      </c>
      <c r="Z17" s="2"/>
      <c r="AE17" s="3"/>
      <c r="AG17" s="165">
        <f t="shared" si="14"/>
        <v>0</v>
      </c>
    </row>
    <row r="18" spans="1:33" s="1" customFormat="1" ht="12.75">
      <c r="A18" s="28">
        <v>99</v>
      </c>
      <c r="B18" s="29" t="s">
        <v>151</v>
      </c>
      <c r="C18" s="32" t="s">
        <v>74</v>
      </c>
      <c r="D18" s="89" t="s">
        <v>92</v>
      </c>
      <c r="E18" s="25">
        <v>16.3</v>
      </c>
      <c r="F18" s="206">
        <f t="shared" si="0"/>
        <v>307</v>
      </c>
      <c r="G18" s="169">
        <f t="shared" si="1"/>
        <v>0</v>
      </c>
      <c r="H18" s="224">
        <v>0.001972222222222222</v>
      </c>
      <c r="I18" s="214">
        <f t="shared" si="2"/>
        <v>459</v>
      </c>
      <c r="J18" s="169">
        <f t="shared" si="3"/>
        <v>0</v>
      </c>
      <c r="K18" s="26">
        <v>3.7</v>
      </c>
      <c r="L18" s="210">
        <f t="shared" si="4"/>
        <v>242</v>
      </c>
      <c r="M18" s="212">
        <f t="shared" si="5"/>
        <v>0</v>
      </c>
      <c r="N18" s="26">
        <v>1.3</v>
      </c>
      <c r="O18" s="210">
        <f t="shared" si="6"/>
        <v>409</v>
      </c>
      <c r="P18" s="212">
        <f t="shared" si="7"/>
        <v>0</v>
      </c>
      <c r="Q18" s="26">
        <v>5.11</v>
      </c>
      <c r="R18" s="210">
        <f t="shared" si="8"/>
        <v>215</v>
      </c>
      <c r="S18" s="212">
        <f t="shared" si="9"/>
        <v>0</v>
      </c>
      <c r="T18" s="100">
        <f t="shared" si="10"/>
        <v>1632</v>
      </c>
      <c r="U18" s="101">
        <f t="shared" si="11"/>
      </c>
      <c r="V18" s="104">
        <f t="shared" si="12"/>
        <v>16</v>
      </c>
      <c r="W18" s="34" t="str">
        <f t="shared" si="13"/>
        <v>5*</v>
      </c>
      <c r="Z18" s="2"/>
      <c r="AE18" s="3"/>
      <c r="AG18" s="165">
        <f t="shared" si="14"/>
        <v>0</v>
      </c>
    </row>
    <row r="19" spans="1:33" s="1" customFormat="1" ht="12.75">
      <c r="A19" s="28">
        <v>100</v>
      </c>
      <c r="B19" s="29" t="s">
        <v>94</v>
      </c>
      <c r="C19" s="32" t="s">
        <v>74</v>
      </c>
      <c r="D19" s="89" t="s">
        <v>92</v>
      </c>
      <c r="E19" s="25">
        <v>13.3</v>
      </c>
      <c r="F19" s="206">
        <f t="shared" si="0"/>
        <v>539</v>
      </c>
      <c r="G19" s="169" t="str">
        <f t="shared" si="1"/>
        <v>G4</v>
      </c>
      <c r="H19" s="224">
        <v>0.0019189814814814814</v>
      </c>
      <c r="I19" s="214">
        <f t="shared" si="2"/>
        <v>508</v>
      </c>
      <c r="J19" s="169">
        <f t="shared" si="3"/>
        <v>0</v>
      </c>
      <c r="K19" s="26">
        <v>4.26</v>
      </c>
      <c r="L19" s="210">
        <f t="shared" si="4"/>
        <v>369</v>
      </c>
      <c r="M19" s="212" t="str">
        <f t="shared" si="5"/>
        <v>G4</v>
      </c>
      <c r="N19" s="26">
        <v>1.36</v>
      </c>
      <c r="O19" s="210">
        <f t="shared" si="6"/>
        <v>470</v>
      </c>
      <c r="P19" s="212" t="str">
        <f t="shared" si="7"/>
        <v>G4</v>
      </c>
      <c r="Q19" s="26">
        <v>6.21</v>
      </c>
      <c r="R19" s="210">
        <f t="shared" si="8"/>
        <v>285</v>
      </c>
      <c r="S19" s="212">
        <f t="shared" si="9"/>
        <v>0</v>
      </c>
      <c r="T19" s="100">
        <f t="shared" si="10"/>
        <v>2171</v>
      </c>
      <c r="U19" s="101">
        <f t="shared" si="11"/>
      </c>
      <c r="V19" s="104">
        <f t="shared" si="12"/>
        <v>7</v>
      </c>
      <c r="W19" s="34" t="str">
        <f t="shared" si="13"/>
        <v>5*</v>
      </c>
      <c r="Z19" s="2"/>
      <c r="AG19" s="165">
        <f t="shared" si="14"/>
        <v>0</v>
      </c>
    </row>
    <row r="20" spans="1:33" s="1" customFormat="1" ht="12.75">
      <c r="A20" s="28">
        <v>101</v>
      </c>
      <c r="B20" s="29" t="s">
        <v>152</v>
      </c>
      <c r="C20" s="32" t="s">
        <v>74</v>
      </c>
      <c r="D20" s="89" t="s">
        <v>92</v>
      </c>
      <c r="E20" s="25">
        <v>16.3</v>
      </c>
      <c r="F20" s="206">
        <f t="shared" si="0"/>
        <v>307</v>
      </c>
      <c r="G20" s="169">
        <f t="shared" si="1"/>
        <v>0</v>
      </c>
      <c r="H20" s="224">
        <v>0.0022094907407407406</v>
      </c>
      <c r="I20" s="214">
        <f t="shared" si="2"/>
        <v>271</v>
      </c>
      <c r="J20" s="169">
        <f t="shared" si="3"/>
        <v>0</v>
      </c>
      <c r="K20" s="26">
        <v>3.27</v>
      </c>
      <c r="L20" s="210">
        <f t="shared" si="4"/>
        <v>155</v>
      </c>
      <c r="M20" s="212">
        <f t="shared" si="5"/>
        <v>0</v>
      </c>
      <c r="N20" s="26">
        <v>1.3</v>
      </c>
      <c r="O20" s="210">
        <f t="shared" si="6"/>
        <v>409</v>
      </c>
      <c r="P20" s="212">
        <f t="shared" si="7"/>
        <v>0</v>
      </c>
      <c r="Q20" s="26">
        <v>5.16</v>
      </c>
      <c r="R20" s="210">
        <f t="shared" si="8"/>
        <v>218</v>
      </c>
      <c r="S20" s="212">
        <f t="shared" si="9"/>
        <v>0</v>
      </c>
      <c r="T20" s="100">
        <f t="shared" si="10"/>
        <v>1360</v>
      </c>
      <c r="U20" s="101">
        <f t="shared" si="11"/>
      </c>
      <c r="V20" s="104">
        <f t="shared" si="12"/>
        <v>19</v>
      </c>
      <c r="W20" s="34" t="str">
        <f t="shared" si="13"/>
        <v>5*</v>
      </c>
      <c r="Z20" s="2"/>
      <c r="AG20" s="165">
        <f t="shared" si="14"/>
        <v>0</v>
      </c>
    </row>
    <row r="21" spans="1:33" s="1" customFormat="1" ht="12.75">
      <c r="A21" s="30">
        <v>102</v>
      </c>
      <c r="B21" s="29" t="s">
        <v>66</v>
      </c>
      <c r="C21" s="32" t="s">
        <v>74</v>
      </c>
      <c r="D21" s="89" t="s">
        <v>91</v>
      </c>
      <c r="E21" s="25">
        <v>12.4</v>
      </c>
      <c r="F21" s="206">
        <f t="shared" si="0"/>
        <v>630</v>
      </c>
      <c r="G21" s="169" t="str">
        <f t="shared" si="1"/>
        <v>G2</v>
      </c>
      <c r="H21" s="224">
        <v>0.0017858796296296297</v>
      </c>
      <c r="I21" s="214">
        <f t="shared" si="2"/>
        <v>640</v>
      </c>
      <c r="J21" s="169" t="str">
        <f t="shared" si="3"/>
        <v>G4</v>
      </c>
      <c r="K21" s="26">
        <v>4.8</v>
      </c>
      <c r="L21" s="210">
        <f t="shared" si="4"/>
        <v>506</v>
      </c>
      <c r="M21" s="212" t="str">
        <f t="shared" si="5"/>
        <v>G2</v>
      </c>
      <c r="N21" s="26">
        <v>1.39</v>
      </c>
      <c r="O21" s="210">
        <f t="shared" si="6"/>
        <v>502</v>
      </c>
      <c r="P21" s="212" t="str">
        <f t="shared" si="7"/>
        <v>G4</v>
      </c>
      <c r="Q21" s="26">
        <v>7.89</v>
      </c>
      <c r="R21" s="210">
        <f t="shared" si="8"/>
        <v>392</v>
      </c>
      <c r="S21" s="212" t="str">
        <f t="shared" si="9"/>
        <v>G3</v>
      </c>
      <c r="T21" s="100">
        <f t="shared" si="10"/>
        <v>2670</v>
      </c>
      <c r="U21" s="101">
        <f t="shared" si="11"/>
        <v>1</v>
      </c>
      <c r="V21" s="104">
        <f t="shared" si="12"/>
        <v>3</v>
      </c>
      <c r="W21" s="34" t="str">
        <f t="shared" si="13"/>
        <v>5*</v>
      </c>
      <c r="Z21" s="2"/>
      <c r="AG21" s="165">
        <f t="shared" si="14"/>
        <v>2670</v>
      </c>
    </row>
    <row r="22" spans="1:33" s="1" customFormat="1" ht="12.75">
      <c r="A22" s="31">
        <v>104</v>
      </c>
      <c r="B22" s="32" t="s">
        <v>58</v>
      </c>
      <c r="C22" s="32" t="s">
        <v>74</v>
      </c>
      <c r="D22" s="89" t="s">
        <v>92</v>
      </c>
      <c r="E22" s="25">
        <v>11.9</v>
      </c>
      <c r="F22" s="206">
        <f t="shared" si="0"/>
        <v>686</v>
      </c>
      <c r="G22" s="169" t="str">
        <f t="shared" si="1"/>
        <v>G1</v>
      </c>
      <c r="H22" s="224">
        <v>0.002010416666666667</v>
      </c>
      <c r="I22" s="214">
        <f t="shared" si="2"/>
        <v>426</v>
      </c>
      <c r="J22" s="169">
        <f t="shared" si="3"/>
        <v>0</v>
      </c>
      <c r="K22" s="26">
        <v>4.96</v>
      </c>
      <c r="L22" s="210">
        <f t="shared" si="4"/>
        <v>548</v>
      </c>
      <c r="M22" s="212" t="str">
        <f t="shared" si="5"/>
        <v>G2</v>
      </c>
      <c r="N22" s="26">
        <v>1.54</v>
      </c>
      <c r="O22" s="210">
        <f t="shared" si="6"/>
        <v>666</v>
      </c>
      <c r="P22" s="212" t="str">
        <f t="shared" si="7"/>
        <v>G2</v>
      </c>
      <c r="Q22" s="26">
        <v>8.14</v>
      </c>
      <c r="R22" s="210">
        <f t="shared" si="8"/>
        <v>408</v>
      </c>
      <c r="S22" s="212" t="str">
        <f t="shared" si="9"/>
        <v>G3</v>
      </c>
      <c r="T22" s="100">
        <f t="shared" si="10"/>
        <v>2734</v>
      </c>
      <c r="U22" s="101">
        <f t="shared" si="11"/>
      </c>
      <c r="V22" s="104">
        <f t="shared" si="12"/>
        <v>2</v>
      </c>
      <c r="W22" s="34" t="str">
        <f t="shared" si="13"/>
        <v>5*</v>
      </c>
      <c r="Z22" s="2"/>
      <c r="AG22" s="165">
        <f t="shared" si="14"/>
        <v>0</v>
      </c>
    </row>
    <row r="23" spans="1:33" s="1" customFormat="1" ht="12.75">
      <c r="A23" s="31">
        <v>105</v>
      </c>
      <c r="B23" s="32" t="s">
        <v>153</v>
      </c>
      <c r="C23" s="32" t="s">
        <v>74</v>
      </c>
      <c r="D23" s="89" t="s">
        <v>91</v>
      </c>
      <c r="E23" s="25">
        <v>13.6</v>
      </c>
      <c r="F23" s="206">
        <f t="shared" si="0"/>
        <v>511</v>
      </c>
      <c r="G23" s="169" t="str">
        <f t="shared" si="1"/>
        <v>G4</v>
      </c>
      <c r="H23" s="224">
        <v>0.0026261574074074073</v>
      </c>
      <c r="I23" s="214">
        <f t="shared" si="2"/>
        <v>55</v>
      </c>
      <c r="J23" s="169">
        <f t="shared" si="3"/>
        <v>0</v>
      </c>
      <c r="K23" s="26">
        <v>4.24</v>
      </c>
      <c r="L23" s="210">
        <f t="shared" si="4"/>
        <v>364</v>
      </c>
      <c r="M23" s="212" t="str">
        <f t="shared" si="5"/>
        <v>G4</v>
      </c>
      <c r="N23" s="26">
        <v>1.33</v>
      </c>
      <c r="O23" s="210">
        <f t="shared" si="6"/>
        <v>439</v>
      </c>
      <c r="P23" s="212">
        <f t="shared" si="7"/>
        <v>0</v>
      </c>
      <c r="Q23" s="26">
        <v>8.69</v>
      </c>
      <c r="R23" s="210">
        <f t="shared" si="8"/>
        <v>444</v>
      </c>
      <c r="S23" s="212" t="str">
        <f t="shared" si="9"/>
        <v>G2</v>
      </c>
      <c r="T23" s="100">
        <f t="shared" si="10"/>
        <v>1813</v>
      </c>
      <c r="U23" s="101">
        <f t="shared" si="11"/>
        <v>6</v>
      </c>
      <c r="V23" s="104">
        <f t="shared" si="12"/>
        <v>15</v>
      </c>
      <c r="W23" s="34" t="str">
        <f t="shared" si="13"/>
        <v>5*</v>
      </c>
      <c r="Z23" s="2"/>
      <c r="AG23" s="165">
        <f t="shared" si="14"/>
        <v>1813</v>
      </c>
    </row>
    <row r="24" spans="1:33" s="1" customFormat="1" ht="12.75">
      <c r="A24" s="31">
        <v>106</v>
      </c>
      <c r="B24" s="32" t="s">
        <v>154</v>
      </c>
      <c r="C24" s="32" t="s">
        <v>74</v>
      </c>
      <c r="D24" s="89" t="s">
        <v>92</v>
      </c>
      <c r="E24" s="25">
        <v>12.7</v>
      </c>
      <c r="F24" s="206">
        <f t="shared" si="0"/>
        <v>599</v>
      </c>
      <c r="G24" s="169" t="str">
        <f t="shared" si="1"/>
        <v>G3</v>
      </c>
      <c r="H24" s="224">
        <v>0.0019537037037037036</v>
      </c>
      <c r="I24" s="214">
        <f t="shared" si="2"/>
        <v>476</v>
      </c>
      <c r="J24" s="169">
        <f t="shared" si="3"/>
        <v>0</v>
      </c>
      <c r="K24" s="26">
        <v>5</v>
      </c>
      <c r="L24" s="210">
        <f t="shared" si="4"/>
        <v>559</v>
      </c>
      <c r="M24" s="212" t="str">
        <f t="shared" si="5"/>
        <v>G1</v>
      </c>
      <c r="N24" s="26">
        <v>1.6</v>
      </c>
      <c r="O24" s="210">
        <f t="shared" si="6"/>
        <v>736</v>
      </c>
      <c r="P24" s="212" t="str">
        <f t="shared" si="7"/>
        <v>G1</v>
      </c>
      <c r="Q24" s="26">
        <v>8.63</v>
      </c>
      <c r="R24" s="210">
        <f t="shared" si="8"/>
        <v>440</v>
      </c>
      <c r="S24" s="212" t="str">
        <f t="shared" si="9"/>
        <v>G2</v>
      </c>
      <c r="T24" s="100">
        <f t="shared" si="10"/>
        <v>2810</v>
      </c>
      <c r="U24" s="101">
        <f t="shared" si="11"/>
      </c>
      <c r="V24" s="104">
        <f t="shared" si="12"/>
        <v>1</v>
      </c>
      <c r="W24" s="34" t="str">
        <f t="shared" si="13"/>
        <v>5*</v>
      </c>
      <c r="Z24" s="2"/>
      <c r="AG24" s="165">
        <f>IF(D24="C",T24,0)</f>
        <v>0</v>
      </c>
    </row>
    <row r="25" spans="1:33" s="1" customFormat="1" ht="12.75">
      <c r="A25" s="31">
        <v>108</v>
      </c>
      <c r="B25" s="32" t="s">
        <v>96</v>
      </c>
      <c r="C25" s="32" t="s">
        <v>74</v>
      </c>
      <c r="D25" s="89" t="s">
        <v>91</v>
      </c>
      <c r="E25" s="225">
        <v>14.6</v>
      </c>
      <c r="F25" s="206">
        <f t="shared" si="0"/>
        <v>430</v>
      </c>
      <c r="G25" s="169">
        <f t="shared" si="1"/>
        <v>0</v>
      </c>
      <c r="H25" s="224">
        <v>0.0020798611111111113</v>
      </c>
      <c r="I25" s="214">
        <f t="shared" si="2"/>
        <v>368</v>
      </c>
      <c r="J25" s="169">
        <f t="shared" si="3"/>
        <v>0</v>
      </c>
      <c r="K25" s="166">
        <v>4.28</v>
      </c>
      <c r="L25" s="210">
        <f t="shared" si="4"/>
        <v>374</v>
      </c>
      <c r="M25" s="212" t="str">
        <f t="shared" si="5"/>
        <v>G4</v>
      </c>
      <c r="N25" s="166">
        <v>1</v>
      </c>
      <c r="O25" s="210">
        <f t="shared" si="6"/>
        <v>141</v>
      </c>
      <c r="P25" s="212">
        <f t="shared" si="7"/>
        <v>0</v>
      </c>
      <c r="Q25" s="166">
        <v>5.71</v>
      </c>
      <c r="R25" s="210">
        <f t="shared" si="8"/>
        <v>253</v>
      </c>
      <c r="S25" s="212">
        <f t="shared" si="9"/>
        <v>0</v>
      </c>
      <c r="T25" s="100">
        <f t="shared" si="10"/>
        <v>1566</v>
      </c>
      <c r="U25" s="101">
        <f t="shared" si="11"/>
        <v>7</v>
      </c>
      <c r="V25" s="104">
        <f t="shared" si="12"/>
        <v>17</v>
      </c>
      <c r="W25" s="34" t="str">
        <f t="shared" si="13"/>
        <v>5*</v>
      </c>
      <c r="Z25" s="2"/>
      <c r="AG25" s="165">
        <f>IF(D25="C",T25,0)</f>
        <v>1566</v>
      </c>
    </row>
    <row r="26" spans="1:33" s="1" customFormat="1" ht="12.75">
      <c r="A26" s="31">
        <v>109</v>
      </c>
      <c r="B26" s="32" t="s">
        <v>57</v>
      </c>
      <c r="C26" s="32" t="s">
        <v>74</v>
      </c>
      <c r="D26" s="89" t="s">
        <v>91</v>
      </c>
      <c r="E26" s="225">
        <v>18.3</v>
      </c>
      <c r="F26" s="206">
        <f t="shared" si="0"/>
        <v>190</v>
      </c>
      <c r="G26" s="169">
        <f t="shared" si="1"/>
        <v>0</v>
      </c>
      <c r="H26" s="224">
        <v>0.002056712962962963</v>
      </c>
      <c r="I26" s="214">
        <f t="shared" si="2"/>
        <v>387</v>
      </c>
      <c r="J26" s="169">
        <f t="shared" si="3"/>
        <v>0</v>
      </c>
      <c r="K26" s="166">
        <v>3.8</v>
      </c>
      <c r="L26" s="210">
        <f t="shared" si="4"/>
        <v>263</v>
      </c>
      <c r="M26" s="212">
        <f t="shared" si="5"/>
        <v>0</v>
      </c>
      <c r="N26" s="166">
        <v>1.3</v>
      </c>
      <c r="O26" s="210">
        <f t="shared" si="6"/>
        <v>409</v>
      </c>
      <c r="P26" s="212">
        <f t="shared" si="7"/>
        <v>0</v>
      </c>
      <c r="Q26" s="166">
        <v>5.44</v>
      </c>
      <c r="R26" s="210">
        <f t="shared" si="8"/>
        <v>236</v>
      </c>
      <c r="S26" s="212">
        <f t="shared" si="9"/>
        <v>0</v>
      </c>
      <c r="T26" s="100">
        <f t="shared" si="10"/>
        <v>1485</v>
      </c>
      <c r="U26" s="101">
        <f t="shared" si="11"/>
        <v>8</v>
      </c>
      <c r="V26" s="104">
        <f t="shared" si="12"/>
        <v>18</v>
      </c>
      <c r="W26" s="34" t="str">
        <f t="shared" si="13"/>
        <v>5*</v>
      </c>
      <c r="Z26" s="2"/>
      <c r="AG26" s="165">
        <f t="shared" si="14"/>
        <v>1485</v>
      </c>
    </row>
    <row r="27" spans="1:33" s="1" customFormat="1" ht="12.75">
      <c r="A27" s="31">
        <v>110</v>
      </c>
      <c r="B27" s="32" t="s">
        <v>155</v>
      </c>
      <c r="C27" s="32" t="s">
        <v>74</v>
      </c>
      <c r="D27" s="89" t="s">
        <v>91</v>
      </c>
      <c r="E27" s="225">
        <v>13.9</v>
      </c>
      <c r="F27" s="206">
        <f t="shared" si="0"/>
        <v>489</v>
      </c>
      <c r="G27" s="169" t="str">
        <f t="shared" si="1"/>
        <v>G4</v>
      </c>
      <c r="H27" s="224">
        <v>0.002085648148148148</v>
      </c>
      <c r="I27" s="214">
        <f t="shared" si="2"/>
        <v>363</v>
      </c>
      <c r="J27" s="169">
        <f t="shared" si="3"/>
        <v>0</v>
      </c>
      <c r="K27" s="166">
        <v>4.3</v>
      </c>
      <c r="L27" s="210">
        <f t="shared" si="4"/>
        <v>379</v>
      </c>
      <c r="M27" s="212" t="str">
        <f t="shared" si="5"/>
        <v>G4</v>
      </c>
      <c r="N27" s="166">
        <v>1.27</v>
      </c>
      <c r="O27" s="210">
        <f t="shared" si="6"/>
        <v>379</v>
      </c>
      <c r="P27" s="212">
        <f t="shared" si="7"/>
        <v>0</v>
      </c>
      <c r="Q27" s="166">
        <v>7.39</v>
      </c>
      <c r="R27" s="210">
        <f t="shared" si="8"/>
        <v>360</v>
      </c>
      <c r="S27" s="212" t="str">
        <f t="shared" si="9"/>
        <v>G4</v>
      </c>
      <c r="T27" s="100">
        <f t="shared" si="10"/>
        <v>1970</v>
      </c>
      <c r="U27" s="101">
        <f t="shared" si="11"/>
        <v>4</v>
      </c>
      <c r="V27" s="104">
        <f t="shared" si="12"/>
        <v>11</v>
      </c>
      <c r="W27" s="34" t="str">
        <f t="shared" si="13"/>
        <v>5*</v>
      </c>
      <c r="Z27" s="2"/>
      <c r="AG27" s="165">
        <f t="shared" si="14"/>
        <v>1970</v>
      </c>
    </row>
    <row r="28" spans="1:33" ht="12.75">
      <c r="A28" s="28"/>
      <c r="B28" s="33"/>
      <c r="C28" s="32"/>
      <c r="D28" s="89"/>
      <c r="E28" s="225"/>
      <c r="F28" s="206">
        <f t="shared" si="0"/>
        <v>0</v>
      </c>
      <c r="G28" s="169">
        <f t="shared" si="1"/>
        <v>0</v>
      </c>
      <c r="H28" s="224"/>
      <c r="I28" s="214">
        <f t="shared" si="2"/>
        <v>0</v>
      </c>
      <c r="J28" s="169">
        <f t="shared" si="3"/>
        <v>0</v>
      </c>
      <c r="K28" s="166"/>
      <c r="L28" s="210">
        <f t="shared" si="4"/>
        <v>0</v>
      </c>
      <c r="M28" s="212">
        <f t="shared" si="5"/>
        <v>0</v>
      </c>
      <c r="N28" s="166"/>
      <c r="O28" s="210">
        <f t="shared" si="6"/>
        <v>0</v>
      </c>
      <c r="P28" s="212">
        <f t="shared" si="7"/>
        <v>0</v>
      </c>
      <c r="Q28" s="166"/>
      <c r="R28" s="210">
        <f t="shared" si="8"/>
        <v>0</v>
      </c>
      <c r="S28" s="212">
        <f t="shared" si="9"/>
        <v>0</v>
      </c>
      <c r="T28" s="100">
        <f t="shared" si="10"/>
        <v>0</v>
      </c>
      <c r="U28" s="101">
        <f t="shared" si="11"/>
      </c>
      <c r="V28" s="104">
        <f t="shared" si="12"/>
      </c>
      <c r="W28" s="34">
        <f t="shared" si="13"/>
      </c>
      <c r="AG28" s="165">
        <f t="shared" si="14"/>
        <v>0</v>
      </c>
    </row>
    <row r="29" spans="1:33" ht="12.75">
      <c r="A29" s="28"/>
      <c r="B29" s="33"/>
      <c r="C29" s="32"/>
      <c r="D29" s="89"/>
      <c r="E29" s="225"/>
      <c r="F29" s="206">
        <f t="shared" si="0"/>
        <v>0</v>
      </c>
      <c r="G29" s="169">
        <f t="shared" si="1"/>
        <v>0</v>
      </c>
      <c r="H29" s="224"/>
      <c r="I29" s="214">
        <f t="shared" si="2"/>
        <v>0</v>
      </c>
      <c r="J29" s="169">
        <f t="shared" si="3"/>
        <v>0</v>
      </c>
      <c r="K29" s="166"/>
      <c r="L29" s="210">
        <f t="shared" si="4"/>
        <v>0</v>
      </c>
      <c r="M29" s="212">
        <f t="shared" si="5"/>
        <v>0</v>
      </c>
      <c r="N29" s="166"/>
      <c r="O29" s="210">
        <f t="shared" si="6"/>
        <v>0</v>
      </c>
      <c r="P29" s="212">
        <f t="shared" si="7"/>
        <v>0</v>
      </c>
      <c r="Q29" s="166"/>
      <c r="R29" s="210">
        <f t="shared" si="8"/>
        <v>0</v>
      </c>
      <c r="S29" s="212">
        <f t="shared" si="9"/>
        <v>0</v>
      </c>
      <c r="T29" s="100">
        <f t="shared" si="10"/>
        <v>0</v>
      </c>
      <c r="U29" s="101">
        <f t="shared" si="11"/>
      </c>
      <c r="V29" s="104">
        <f t="shared" si="12"/>
      </c>
      <c r="W29" s="34">
        <f t="shared" si="13"/>
      </c>
      <c r="AG29" s="165">
        <f>IF(D29="C",T29,0)</f>
        <v>0</v>
      </c>
    </row>
    <row r="30" spans="1:33" ht="12.75">
      <c r="A30" s="28"/>
      <c r="B30" s="33"/>
      <c r="C30" s="32"/>
      <c r="D30" s="89"/>
      <c r="E30" s="225"/>
      <c r="F30" s="206">
        <f t="shared" si="0"/>
        <v>0</v>
      </c>
      <c r="G30" s="169">
        <f t="shared" si="1"/>
        <v>0</v>
      </c>
      <c r="H30" s="224"/>
      <c r="I30" s="214">
        <f t="shared" si="2"/>
        <v>0</v>
      </c>
      <c r="J30" s="169">
        <f t="shared" si="3"/>
        <v>0</v>
      </c>
      <c r="K30" s="166"/>
      <c r="L30" s="210">
        <f t="shared" si="4"/>
        <v>0</v>
      </c>
      <c r="M30" s="212">
        <f t="shared" si="5"/>
        <v>0</v>
      </c>
      <c r="N30" s="166"/>
      <c r="O30" s="210">
        <f t="shared" si="6"/>
        <v>0</v>
      </c>
      <c r="P30" s="212">
        <f t="shared" si="7"/>
        <v>0</v>
      </c>
      <c r="Q30" s="166"/>
      <c r="R30" s="210">
        <f t="shared" si="8"/>
        <v>0</v>
      </c>
      <c r="S30" s="212">
        <f t="shared" si="9"/>
        <v>0</v>
      </c>
      <c r="T30" s="100">
        <f t="shared" si="10"/>
        <v>0</v>
      </c>
      <c r="U30" s="101">
        <f t="shared" si="11"/>
      </c>
      <c r="V30" s="104">
        <f t="shared" si="12"/>
      </c>
      <c r="W30" s="34">
        <f t="shared" si="13"/>
      </c>
      <c r="AG30" s="165">
        <f t="shared" si="14"/>
        <v>0</v>
      </c>
    </row>
    <row r="31" spans="1:33" ht="12.75">
      <c r="A31" s="28"/>
      <c r="B31" s="33"/>
      <c r="C31" s="32"/>
      <c r="D31" s="89"/>
      <c r="E31" s="225"/>
      <c r="F31" s="206">
        <f t="shared" si="0"/>
        <v>0</v>
      </c>
      <c r="G31" s="169">
        <f t="shared" si="1"/>
        <v>0</v>
      </c>
      <c r="H31" s="224"/>
      <c r="I31" s="214">
        <f t="shared" si="2"/>
        <v>0</v>
      </c>
      <c r="J31" s="169">
        <f t="shared" si="3"/>
        <v>0</v>
      </c>
      <c r="K31" s="166"/>
      <c r="L31" s="210">
        <f t="shared" si="4"/>
        <v>0</v>
      </c>
      <c r="M31" s="212">
        <f t="shared" si="5"/>
        <v>0</v>
      </c>
      <c r="N31" s="166"/>
      <c r="O31" s="210">
        <f t="shared" si="6"/>
        <v>0</v>
      </c>
      <c r="P31" s="212">
        <f t="shared" si="7"/>
        <v>0</v>
      </c>
      <c r="Q31" s="166"/>
      <c r="R31" s="210">
        <f t="shared" si="8"/>
        <v>0</v>
      </c>
      <c r="S31" s="212">
        <f t="shared" si="9"/>
        <v>0</v>
      </c>
      <c r="T31" s="100">
        <f t="shared" si="10"/>
        <v>0</v>
      </c>
      <c r="U31" s="101">
        <f t="shared" si="11"/>
      </c>
      <c r="V31" s="104">
        <f t="shared" si="12"/>
      </c>
      <c r="W31" s="34">
        <f t="shared" si="13"/>
      </c>
      <c r="AG31" s="165">
        <f t="shared" si="14"/>
        <v>0</v>
      </c>
    </row>
    <row r="32" spans="1:33" ht="12.75">
      <c r="A32" s="28"/>
      <c r="B32" s="33"/>
      <c r="C32" s="32"/>
      <c r="D32" s="89"/>
      <c r="E32" s="225"/>
      <c r="F32" s="206">
        <f t="shared" si="0"/>
        <v>0</v>
      </c>
      <c r="G32" s="169">
        <f t="shared" si="1"/>
        <v>0</v>
      </c>
      <c r="H32" s="224"/>
      <c r="I32" s="214">
        <f t="shared" si="2"/>
        <v>0</v>
      </c>
      <c r="J32" s="169">
        <f t="shared" si="3"/>
        <v>0</v>
      </c>
      <c r="K32" s="166"/>
      <c r="L32" s="210">
        <f t="shared" si="4"/>
        <v>0</v>
      </c>
      <c r="M32" s="212">
        <f t="shared" si="5"/>
        <v>0</v>
      </c>
      <c r="N32" s="166"/>
      <c r="O32" s="210">
        <f t="shared" si="6"/>
        <v>0</v>
      </c>
      <c r="P32" s="212">
        <f t="shared" si="7"/>
        <v>0</v>
      </c>
      <c r="Q32" s="166"/>
      <c r="R32" s="210">
        <f t="shared" si="8"/>
        <v>0</v>
      </c>
      <c r="S32" s="212">
        <f t="shared" si="9"/>
        <v>0</v>
      </c>
      <c r="T32" s="100">
        <f t="shared" si="10"/>
        <v>0</v>
      </c>
      <c r="U32" s="101">
        <f t="shared" si="11"/>
      </c>
      <c r="V32" s="104">
        <f t="shared" si="12"/>
      </c>
      <c r="W32" s="34">
        <f t="shared" si="13"/>
      </c>
      <c r="AG32" s="165">
        <f t="shared" si="14"/>
        <v>0</v>
      </c>
    </row>
    <row r="33" spans="1:33" ht="12.75">
      <c r="A33" s="28"/>
      <c r="B33" s="33"/>
      <c r="C33" s="32"/>
      <c r="D33" s="89"/>
      <c r="E33" s="225"/>
      <c r="F33" s="206">
        <f t="shared" si="0"/>
        <v>0</v>
      </c>
      <c r="G33" s="169">
        <f t="shared" si="1"/>
        <v>0</v>
      </c>
      <c r="H33" s="224"/>
      <c r="I33" s="214">
        <f t="shared" si="2"/>
        <v>0</v>
      </c>
      <c r="J33" s="169">
        <f t="shared" si="3"/>
        <v>0</v>
      </c>
      <c r="K33" s="166"/>
      <c r="L33" s="210">
        <f t="shared" si="4"/>
        <v>0</v>
      </c>
      <c r="M33" s="212">
        <f t="shared" si="5"/>
        <v>0</v>
      </c>
      <c r="N33" s="166"/>
      <c r="O33" s="210">
        <f t="shared" si="6"/>
        <v>0</v>
      </c>
      <c r="P33" s="212">
        <f t="shared" si="7"/>
        <v>0</v>
      </c>
      <c r="Q33" s="166"/>
      <c r="R33" s="210">
        <f t="shared" si="8"/>
        <v>0</v>
      </c>
      <c r="S33" s="212">
        <f t="shared" si="9"/>
        <v>0</v>
      </c>
      <c r="T33" s="100">
        <f t="shared" si="10"/>
        <v>0</v>
      </c>
      <c r="U33" s="101">
        <f t="shared" si="11"/>
      </c>
      <c r="V33" s="104">
        <f t="shared" si="12"/>
      </c>
      <c r="W33" s="34">
        <f t="shared" si="13"/>
      </c>
      <c r="AG33" s="165">
        <f t="shared" si="14"/>
        <v>0</v>
      </c>
    </row>
    <row r="34" spans="1:33" ht="12.75">
      <c r="A34" s="28"/>
      <c r="B34" s="33"/>
      <c r="C34" s="32"/>
      <c r="D34" s="89"/>
      <c r="E34" s="225"/>
      <c r="F34" s="206">
        <f t="shared" si="0"/>
        <v>0</v>
      </c>
      <c r="G34" s="169">
        <f t="shared" si="1"/>
        <v>0</v>
      </c>
      <c r="H34" s="224"/>
      <c r="I34" s="214">
        <f t="shared" si="2"/>
        <v>0</v>
      </c>
      <c r="J34" s="169">
        <f t="shared" si="3"/>
        <v>0</v>
      </c>
      <c r="K34" s="166"/>
      <c r="L34" s="210">
        <f t="shared" si="4"/>
        <v>0</v>
      </c>
      <c r="M34" s="212">
        <f t="shared" si="5"/>
        <v>0</v>
      </c>
      <c r="N34" s="166"/>
      <c r="O34" s="210">
        <f t="shared" si="6"/>
        <v>0</v>
      </c>
      <c r="P34" s="212">
        <f t="shared" si="7"/>
        <v>0</v>
      </c>
      <c r="Q34" s="166"/>
      <c r="R34" s="210">
        <f t="shared" si="8"/>
        <v>0</v>
      </c>
      <c r="S34" s="212">
        <f t="shared" si="9"/>
        <v>0</v>
      </c>
      <c r="T34" s="100">
        <f t="shared" si="10"/>
        <v>0</v>
      </c>
      <c r="U34" s="101">
        <f t="shared" si="11"/>
      </c>
      <c r="V34" s="104">
        <f t="shared" si="12"/>
      </c>
      <c r="W34" s="34">
        <f t="shared" si="13"/>
      </c>
      <c r="AG34" s="165">
        <f t="shared" si="14"/>
        <v>0</v>
      </c>
    </row>
    <row r="35" spans="1:33" ht="12.75">
      <c r="A35" s="28"/>
      <c r="B35" s="33"/>
      <c r="C35" s="32"/>
      <c r="D35" s="89"/>
      <c r="E35" s="225"/>
      <c r="F35" s="206">
        <f t="shared" si="0"/>
        <v>0</v>
      </c>
      <c r="G35" s="169">
        <f t="shared" si="1"/>
        <v>0</v>
      </c>
      <c r="H35" s="224"/>
      <c r="I35" s="214">
        <f t="shared" si="2"/>
        <v>0</v>
      </c>
      <c r="J35" s="169">
        <f t="shared" si="3"/>
        <v>0</v>
      </c>
      <c r="K35" s="166"/>
      <c r="L35" s="210">
        <f t="shared" si="4"/>
        <v>0</v>
      </c>
      <c r="M35" s="212">
        <f t="shared" si="5"/>
        <v>0</v>
      </c>
      <c r="N35" s="166"/>
      <c r="O35" s="210">
        <f t="shared" si="6"/>
        <v>0</v>
      </c>
      <c r="P35" s="212">
        <f t="shared" si="7"/>
        <v>0</v>
      </c>
      <c r="Q35" s="166"/>
      <c r="R35" s="210">
        <f t="shared" si="8"/>
        <v>0</v>
      </c>
      <c r="S35" s="212">
        <f t="shared" si="9"/>
        <v>0</v>
      </c>
      <c r="T35" s="100">
        <f t="shared" si="10"/>
        <v>0</v>
      </c>
      <c r="U35" s="101">
        <f t="shared" si="11"/>
      </c>
      <c r="V35" s="104">
        <f t="shared" si="12"/>
      </c>
      <c r="W35" s="34">
        <f t="shared" si="13"/>
      </c>
      <c r="AG35" s="165">
        <f>IF(D35="C",T35,0)</f>
        <v>0</v>
      </c>
    </row>
    <row r="36" spans="1:23" ht="12.75">
      <c r="A36" s="44"/>
      <c r="B36" s="44"/>
      <c r="C36" s="44"/>
      <c r="D36" s="97"/>
      <c r="E36" s="45"/>
      <c r="F36" s="45"/>
      <c r="G36" s="97"/>
      <c r="H36" s="45"/>
      <c r="I36" s="45"/>
      <c r="J36" s="97"/>
      <c r="K36" s="45"/>
      <c r="L36" s="45"/>
      <c r="M36" s="97"/>
      <c r="N36" s="45"/>
      <c r="O36" s="45"/>
      <c r="P36" s="97"/>
      <c r="Q36" s="45"/>
      <c r="R36" s="45"/>
      <c r="S36" s="97"/>
      <c r="T36" s="45"/>
      <c r="U36" s="45"/>
      <c r="V36" s="45"/>
      <c r="W36" s="45"/>
    </row>
  </sheetData>
  <sheetProtection sheet="1" objects="1" scenarios="1"/>
  <mergeCells count="2">
    <mergeCell ref="A1:V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91" r:id="rId1"/>
  <headerFooter alignWithMargins="0">
    <oddFooter>&amp;L&amp;8Points for 800m, Shot, Long Jump &amp; High Jump in accordance with IAAF Manual Scoring Tables 2004
Points for 75m Hurdles are in  accordance with ESAA Scoring Tables 2007
AAA Grade Tables 2007/2008&amp;R&amp;8NT = No Throw
NJ = No Jump
DNF = Did Not Finish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AK36"/>
  <sheetViews>
    <sheetView showZeros="0" zoomScalePageLayoutView="0" workbookViewId="0" topLeftCell="A1">
      <selection activeCell="F7" sqref="F7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7.8515625" style="55" bestFit="1" customWidth="1"/>
    <col min="6" max="6" width="6.57421875" style="55" customWidth="1"/>
    <col min="7" max="7" width="3.421875" style="55" bestFit="1" customWidth="1"/>
    <col min="8" max="8" width="7.8515625" style="55" customWidth="1"/>
    <col min="9" max="9" width="6.57421875" style="55" bestFit="1" customWidth="1"/>
    <col min="10" max="10" width="3.421875" style="55" bestFit="1" customWidth="1"/>
    <col min="11" max="11" width="6.7109375" style="55" customWidth="1"/>
    <col min="12" max="12" width="6.57421875" style="55" bestFit="1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140625" style="55" customWidth="1"/>
    <col min="18" max="18" width="6.57421875" style="55" bestFit="1" customWidth="1"/>
    <col min="19" max="19" width="3.421875" style="55" bestFit="1" customWidth="1"/>
    <col min="20" max="20" width="8.421875" style="55" bestFit="1" customWidth="1"/>
    <col min="21" max="21" width="8.421875" style="55" customWidth="1"/>
    <col min="22" max="22" width="7.28125" style="55" customWidth="1"/>
    <col min="23" max="23" width="0" style="55" hidden="1" customWidth="1"/>
    <col min="24" max="34" width="9.8515625" style="51" customWidth="1"/>
    <col min="35" max="36" width="9.140625" style="51" customWidth="1"/>
    <col min="37" max="37" width="6.28125" style="51" hidden="1" customWidth="1"/>
    <col min="38" max="16384" width="9.140625" style="51" customWidth="1"/>
  </cols>
  <sheetData>
    <row r="1" spans="1:23" ht="22.5" customHeight="1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ht="12.75">
      <c r="A2" s="60"/>
      <c r="B2" s="52"/>
      <c r="C2" s="52"/>
      <c r="D2" s="53"/>
      <c r="E2" s="54"/>
      <c r="F2" s="54"/>
      <c r="G2" s="54"/>
      <c r="H2" s="239" t="s">
        <v>116</v>
      </c>
      <c r="I2" s="239"/>
      <c r="J2" s="239"/>
      <c r="K2" s="239"/>
      <c r="L2" s="239"/>
      <c r="M2" s="216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V3" s="106"/>
      <c r="W3" s="53"/>
    </row>
    <row r="4" spans="1:34" ht="12.75">
      <c r="A4" s="59" t="s">
        <v>64</v>
      </c>
      <c r="B4" s="59"/>
      <c r="C4" s="60" t="str">
        <f>ArrangedBy</f>
        <v>Handforth W A A C</v>
      </c>
      <c r="D4" s="54"/>
      <c r="H4" s="61" t="s">
        <v>62</v>
      </c>
      <c r="I4" s="62"/>
      <c r="K4" s="63" t="s">
        <v>60</v>
      </c>
      <c r="O4" s="54"/>
      <c r="Q4" s="54"/>
      <c r="R4" s="62" t="s">
        <v>87</v>
      </c>
      <c r="T4" s="63" t="str">
        <f>Date</f>
        <v>3rd July 2008</v>
      </c>
      <c r="U4" s="63"/>
      <c r="V4" s="54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23" ht="12.75">
      <c r="A5" s="59" t="s">
        <v>65</v>
      </c>
      <c r="B5" s="59"/>
      <c r="C5" s="60">
        <f>Sponsor</f>
        <v>0</v>
      </c>
      <c r="D5" s="54"/>
      <c r="H5" s="61" t="s">
        <v>63</v>
      </c>
      <c r="I5" s="62"/>
      <c r="K5" s="63" t="s">
        <v>61</v>
      </c>
      <c r="O5" s="54"/>
      <c r="Q5" s="54"/>
      <c r="R5" s="54"/>
      <c r="T5" s="54"/>
      <c r="U5" s="54"/>
      <c r="V5" s="54"/>
      <c r="W5" s="54"/>
    </row>
    <row r="6" spans="1:37" s="75" customFormat="1" ht="38.25">
      <c r="A6" s="64" t="s">
        <v>0</v>
      </c>
      <c r="B6" s="65" t="s">
        <v>1</v>
      </c>
      <c r="C6" s="65" t="s">
        <v>2</v>
      </c>
      <c r="D6" s="66" t="s">
        <v>89</v>
      </c>
      <c r="E6" s="107" t="s">
        <v>117</v>
      </c>
      <c r="F6" s="207" t="s">
        <v>11</v>
      </c>
      <c r="G6" s="208" t="s">
        <v>208</v>
      </c>
      <c r="H6" s="69" t="s">
        <v>22</v>
      </c>
      <c r="I6" s="209" t="s">
        <v>11</v>
      </c>
      <c r="J6" s="211" t="s">
        <v>208</v>
      </c>
      <c r="K6" s="69" t="s">
        <v>50</v>
      </c>
      <c r="L6" s="209" t="s">
        <v>11</v>
      </c>
      <c r="M6" s="211" t="s">
        <v>208</v>
      </c>
      <c r="N6" s="69" t="s">
        <v>52</v>
      </c>
      <c r="O6" s="209" t="s">
        <v>11</v>
      </c>
      <c r="P6" s="211" t="s">
        <v>208</v>
      </c>
      <c r="Q6" s="118" t="s">
        <v>4</v>
      </c>
      <c r="R6" s="207" t="s">
        <v>11</v>
      </c>
      <c r="S6" s="208" t="s">
        <v>208</v>
      </c>
      <c r="T6" s="72" t="s">
        <v>69</v>
      </c>
      <c r="U6" s="66" t="s">
        <v>129</v>
      </c>
      <c r="V6" s="73" t="s">
        <v>130</v>
      </c>
      <c r="W6" s="108" t="s">
        <v>38</v>
      </c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K6" s="164" t="s">
        <v>93</v>
      </c>
    </row>
    <row r="7" spans="1:37" s="85" customFormat="1" ht="12.75">
      <c r="A7" s="90">
        <v>97</v>
      </c>
      <c r="B7" s="109" t="s">
        <v>118</v>
      </c>
      <c r="C7" s="78" t="s">
        <v>88</v>
      </c>
      <c r="D7" s="89" t="s">
        <v>91</v>
      </c>
      <c r="E7" s="110">
        <v>16.7</v>
      </c>
      <c r="F7" s="214">
        <f aca="true" t="shared" si="0" ref="F7:F12">IF(E7="DNF",0,IF(E7=0,0,ROUNDDOWN(INDEX(ESAA_U17M_100mH,1,3)*(INDEX(ESAA_U17M_100mH,1,4)-E7-0.24)^INDEX(ESAA_U17M_100mH,1,5),0)))</f>
        <v>500</v>
      </c>
      <c r="G7" s="169">
        <f aca="true" t="shared" si="1" ref="G7:G35">IF(E7=0,0,IF(E7&lt;=INDEX(AAA_U17M_100mH,1,1),"G1",IF(E7&lt;=INDEX(AAA_U17M_100mH,1,2),"G2",IF(E7&lt;=INDEX(AAA_U17M_100mH,1,3),"G3",IF(E7&lt;=INDEX(AAA_U17M_100mH,1,4),"G4",0)))))</f>
        <v>0</v>
      </c>
      <c r="H7" s="111">
        <v>8.41</v>
      </c>
      <c r="I7" s="210">
        <f aca="true" t="shared" si="2" ref="I7:I35">IF(H7="NT",0,IF(H7=0,0,ROUNDDOWN(INDEX(MP_Shot,1,3)*(H7-INDEX(MP_Shot,1,4))^INDEX(MP_Shot,1,5),0)))</f>
        <v>391</v>
      </c>
      <c r="J7" s="212">
        <f aca="true" t="shared" si="3" ref="J7:J35">IF(I7=0,0,IF(H7&gt;=INDEX(AAA_U17M_Shot,1,1),"G1",IF(H7&gt;=INDEX(AAA_U17M_Shot,1,2),"G2",IF(H7&gt;=INDEX(AAA_U17M_Shot,1,3),"G3",IF(H7&gt;=INDEX(AAA_U17M_Shot,1,4),"G4",0)))))</f>
        <v>0</v>
      </c>
      <c r="K7" s="111">
        <v>5.74</v>
      </c>
      <c r="L7" s="210">
        <f aca="true" t="shared" si="4" ref="L7:L35">IF(K7="NJ",0,IF(K7=0,0,ROUNDDOWN(INDEX(MP_LJ,1,3)*(K7*100-INDEX(MP_LJ,1,4))^INDEX(MP_LJ,1,5),0)))</f>
        <v>531</v>
      </c>
      <c r="M7" s="212" t="str">
        <f aca="true" t="shared" si="5" ref="M7:M35">IF(L7=0,0,IF(K7&gt;=INDEX(AAA_U17M_LJ,1,1),"G1",IF(K7&gt;=INDEX(AAA_U17M_LJ,1,2),"G2",IF(K7&gt;=INDEX(AAA_U17M_LJ,1,3),"G3",IF(K7&gt;=INDEX(AAA_U17M_LJ,1,4),"G4",0)))))</f>
        <v>G3</v>
      </c>
      <c r="N7" s="111">
        <v>1.53</v>
      </c>
      <c r="O7" s="210">
        <f aca="true" t="shared" si="6" ref="O7:O35">IF(N7="NJ",0,IF(N7=0,0,ROUNDDOWN(INDEX(MP_HJ,1,3)*(N7*100-INDEX(MP_HJ,1,4))^INDEX(MP_HJ,1,5),0)))</f>
        <v>411</v>
      </c>
      <c r="P7" s="212">
        <f aca="true" t="shared" si="7" ref="P7:P35">IF(O7=0,0,IF(N7&gt;=INDEX(AAA_U17M_HJ,1,1),"G1",IF(N7&gt;=INDEX(AAA_U17M_HJ,1,2),"G2",IF(N7&gt;=INDEX(AAA_U17M_HJ,1,3),"G3",IF(N7&gt;=INDEX(AAA_U17M_HJ,1,4),"G4",0)))))</f>
        <v>0</v>
      </c>
      <c r="Q7" s="86">
        <v>0.0016956018518518518</v>
      </c>
      <c r="R7" s="214">
        <f aca="true" t="shared" si="8" ref="R7:R35">IF(Q7="DNF",0,IF(Q7=0,0,ROUNDDOWN(INDEX(ESAA_U17M_800m,1,3)*(INDEX(ESAA_U17M_800m,1,4)-Q7*24*60*60)^INDEX(ESAA_U17M_800m,1,5),0)))</f>
        <v>365</v>
      </c>
      <c r="S7" s="169">
        <f aca="true" t="shared" si="9" ref="S7:S35">IF(Q7=0,0,IF(Q7&lt;=INDEX(AAA_U17M_800m,1,1),"G1",IF(Q7&lt;=INDEX(AAA_U17M_800m,1,2),"G2",IF(Q7&lt;=INDEX(AAA_U17M_800m,1,3),"G3",IF(Q7&lt;=INDEX(AAA_U17M_800m,1,4),"G4",0)))))</f>
        <v>0</v>
      </c>
      <c r="T7" s="100">
        <f>SUM(F7,I7,L7,O7,,R7)</f>
        <v>2198</v>
      </c>
      <c r="U7" s="101">
        <f aca="true" t="shared" si="10" ref="U7:U35">IF(AK7=0,"",RANK(T7,AK$7:AK$35))</f>
        <v>2</v>
      </c>
      <c r="V7" s="104">
        <f aca="true" t="shared" si="11" ref="V7:V35">IF(T7=0,"",RANK(T7,T$7:T$35))</f>
        <v>4</v>
      </c>
      <c r="W7" s="87" t="str">
        <f aca="true" t="shared" si="12" ref="W7:W30">IF(T7&lt;15,"",HLOOKUP(T7,T_U13B_3_Events,5))</f>
        <v>5*</v>
      </c>
      <c r="X7" s="227"/>
      <c r="Y7" s="226"/>
      <c r="Z7" s="226"/>
      <c r="AA7" s="226"/>
      <c r="AB7" s="84"/>
      <c r="AC7" s="84"/>
      <c r="AD7" s="84"/>
      <c r="AE7" s="84"/>
      <c r="AF7" s="84"/>
      <c r="AG7" s="84"/>
      <c r="AH7" s="84"/>
      <c r="AK7" s="165">
        <f aca="true" t="shared" si="13" ref="AK7:AK35">IF(D7="C",T7,0)</f>
        <v>2198</v>
      </c>
    </row>
    <row r="8" spans="1:37" s="85" customFormat="1" ht="12.75">
      <c r="A8" s="112">
        <v>98</v>
      </c>
      <c r="B8" s="109" t="s">
        <v>119</v>
      </c>
      <c r="C8" s="78" t="s">
        <v>74</v>
      </c>
      <c r="D8" s="89" t="s">
        <v>92</v>
      </c>
      <c r="E8" s="110">
        <v>17.9</v>
      </c>
      <c r="F8" s="214">
        <f t="shared" si="0"/>
        <v>396</v>
      </c>
      <c r="G8" s="169">
        <f t="shared" si="1"/>
        <v>0</v>
      </c>
      <c r="H8" s="111">
        <v>7.3</v>
      </c>
      <c r="I8" s="210">
        <f t="shared" si="2"/>
        <v>325</v>
      </c>
      <c r="J8" s="212">
        <f t="shared" si="3"/>
        <v>0</v>
      </c>
      <c r="K8" s="111">
        <v>5.02</v>
      </c>
      <c r="L8" s="210">
        <f t="shared" si="4"/>
        <v>386</v>
      </c>
      <c r="M8" s="212">
        <f t="shared" si="5"/>
        <v>0</v>
      </c>
      <c r="N8" s="111">
        <v>1.74</v>
      </c>
      <c r="O8" s="210">
        <f t="shared" si="6"/>
        <v>577</v>
      </c>
      <c r="P8" s="212" t="str">
        <f t="shared" si="7"/>
        <v>G3</v>
      </c>
      <c r="Q8" s="86">
        <v>0.0015613425925925927</v>
      </c>
      <c r="R8" s="214">
        <f t="shared" si="8"/>
        <v>525</v>
      </c>
      <c r="S8" s="169">
        <f t="shared" si="9"/>
        <v>0</v>
      </c>
      <c r="T8" s="100">
        <f aca="true" t="shared" si="14" ref="T8:T30">SUM(F8,I8,L8,O8,,R8)</f>
        <v>2209</v>
      </c>
      <c r="U8" s="101">
        <f t="shared" si="10"/>
      </c>
      <c r="V8" s="104">
        <f t="shared" si="11"/>
        <v>3</v>
      </c>
      <c r="W8" s="87" t="str">
        <f t="shared" si="12"/>
        <v>5*</v>
      </c>
      <c r="X8" s="227"/>
      <c r="Y8" s="226"/>
      <c r="Z8" s="226"/>
      <c r="AA8" s="226"/>
      <c r="AK8" s="165">
        <f t="shared" si="13"/>
        <v>0</v>
      </c>
    </row>
    <row r="9" spans="1:37" s="85" customFormat="1" ht="12.75">
      <c r="A9" s="112">
        <v>99</v>
      </c>
      <c r="B9" s="109" t="s">
        <v>120</v>
      </c>
      <c r="C9" s="78" t="s">
        <v>74</v>
      </c>
      <c r="D9" s="89" t="s">
        <v>91</v>
      </c>
      <c r="E9" s="110">
        <v>20.5</v>
      </c>
      <c r="F9" s="214">
        <f t="shared" si="0"/>
        <v>209</v>
      </c>
      <c r="G9" s="169">
        <f t="shared" si="1"/>
        <v>0</v>
      </c>
      <c r="H9" s="111">
        <v>6.72</v>
      </c>
      <c r="I9" s="210">
        <f t="shared" si="2"/>
        <v>291</v>
      </c>
      <c r="J9" s="212">
        <f t="shared" si="3"/>
        <v>0</v>
      </c>
      <c r="K9" s="111">
        <v>4.19</v>
      </c>
      <c r="L9" s="210">
        <f t="shared" si="4"/>
        <v>237</v>
      </c>
      <c r="M9" s="212">
        <f t="shared" si="5"/>
        <v>0</v>
      </c>
      <c r="N9" s="111">
        <v>1.41</v>
      </c>
      <c r="O9" s="210">
        <f t="shared" si="6"/>
        <v>324</v>
      </c>
      <c r="P9" s="212">
        <f t="shared" si="7"/>
        <v>0</v>
      </c>
      <c r="Q9" s="86">
        <v>0.0015983796296296295</v>
      </c>
      <c r="R9" s="214">
        <f t="shared" si="8"/>
        <v>478</v>
      </c>
      <c r="S9" s="169">
        <f t="shared" si="9"/>
        <v>0</v>
      </c>
      <c r="T9" s="100">
        <f t="shared" si="14"/>
        <v>1539</v>
      </c>
      <c r="U9" s="101">
        <f t="shared" si="10"/>
        <v>3</v>
      </c>
      <c r="V9" s="104">
        <f t="shared" si="11"/>
        <v>5</v>
      </c>
      <c r="W9" s="87" t="str">
        <f t="shared" si="12"/>
        <v>5*</v>
      </c>
      <c r="X9" s="227"/>
      <c r="Y9" s="226"/>
      <c r="Z9" s="226"/>
      <c r="AA9" s="226"/>
      <c r="AI9" s="125"/>
      <c r="AJ9" s="124"/>
      <c r="AK9" s="165">
        <f t="shared" si="13"/>
        <v>1539</v>
      </c>
    </row>
    <row r="10" spans="1:37" s="85" customFormat="1" ht="12.75">
      <c r="A10" s="90">
        <v>100</v>
      </c>
      <c r="B10" s="109" t="s">
        <v>121</v>
      </c>
      <c r="C10" s="78" t="s">
        <v>74</v>
      </c>
      <c r="D10" s="89" t="s">
        <v>91</v>
      </c>
      <c r="E10" s="110"/>
      <c r="F10" s="214">
        <f t="shared" si="0"/>
        <v>0</v>
      </c>
      <c r="G10" s="169">
        <f t="shared" si="1"/>
        <v>0</v>
      </c>
      <c r="H10" s="111"/>
      <c r="I10" s="210">
        <f t="shared" si="2"/>
        <v>0</v>
      </c>
      <c r="J10" s="212">
        <f t="shared" si="3"/>
        <v>0</v>
      </c>
      <c r="K10" s="111"/>
      <c r="L10" s="210">
        <f t="shared" si="4"/>
        <v>0</v>
      </c>
      <c r="M10" s="212">
        <f t="shared" si="5"/>
        <v>0</v>
      </c>
      <c r="N10" s="111"/>
      <c r="O10" s="210">
        <f t="shared" si="6"/>
        <v>0</v>
      </c>
      <c r="P10" s="212">
        <f t="shared" si="7"/>
        <v>0</v>
      </c>
      <c r="Q10" s="86"/>
      <c r="R10" s="214">
        <f t="shared" si="8"/>
        <v>0</v>
      </c>
      <c r="S10" s="169">
        <f t="shared" si="9"/>
        <v>0</v>
      </c>
      <c r="T10" s="100">
        <f t="shared" si="14"/>
        <v>0</v>
      </c>
      <c r="U10" s="101">
        <f t="shared" si="10"/>
      </c>
      <c r="V10" s="104">
        <f t="shared" si="11"/>
      </c>
      <c r="W10" s="87">
        <f t="shared" si="12"/>
      </c>
      <c r="X10" s="227"/>
      <c r="Y10" s="226"/>
      <c r="Z10" s="226"/>
      <c r="AA10" s="226"/>
      <c r="AI10" s="113"/>
      <c r="AK10" s="165">
        <f t="shared" si="13"/>
        <v>0</v>
      </c>
    </row>
    <row r="11" spans="1:37" s="85" customFormat="1" ht="12.75">
      <c r="A11" s="112">
        <v>101</v>
      </c>
      <c r="B11" s="109" t="s">
        <v>123</v>
      </c>
      <c r="C11" s="78" t="s">
        <v>59</v>
      </c>
      <c r="D11" s="89" t="s">
        <v>92</v>
      </c>
      <c r="E11" s="110">
        <v>16</v>
      </c>
      <c r="F11" s="214">
        <f t="shared" si="0"/>
        <v>566</v>
      </c>
      <c r="G11" s="169" t="str">
        <f t="shared" si="1"/>
        <v>G4</v>
      </c>
      <c r="H11" s="111">
        <v>8.58</v>
      </c>
      <c r="I11" s="210">
        <f t="shared" si="2"/>
        <v>401</v>
      </c>
      <c r="J11" s="212">
        <f t="shared" si="3"/>
        <v>0</v>
      </c>
      <c r="K11" s="111">
        <v>4.92</v>
      </c>
      <c r="L11" s="210">
        <f t="shared" si="4"/>
        <v>367</v>
      </c>
      <c r="M11" s="212">
        <f t="shared" si="5"/>
        <v>0</v>
      </c>
      <c r="N11" s="111">
        <v>1.62</v>
      </c>
      <c r="O11" s="210">
        <f t="shared" si="6"/>
        <v>480</v>
      </c>
      <c r="P11" s="212" t="str">
        <f t="shared" si="7"/>
        <v>G4</v>
      </c>
      <c r="Q11" s="86">
        <v>0.00158912037037037</v>
      </c>
      <c r="R11" s="214">
        <f t="shared" si="8"/>
        <v>490</v>
      </c>
      <c r="S11" s="169">
        <f t="shared" si="9"/>
        <v>0</v>
      </c>
      <c r="T11" s="100">
        <f t="shared" si="14"/>
        <v>2304</v>
      </c>
      <c r="U11" s="101">
        <f t="shared" si="10"/>
      </c>
      <c r="V11" s="104">
        <f t="shared" si="11"/>
        <v>1</v>
      </c>
      <c r="W11" s="87" t="str">
        <f t="shared" si="12"/>
        <v>5*</v>
      </c>
      <c r="X11" s="227"/>
      <c r="Y11" s="226"/>
      <c r="Z11" s="226"/>
      <c r="AA11" s="226"/>
      <c r="AI11" s="113"/>
      <c r="AK11" s="165">
        <f t="shared" si="13"/>
        <v>0</v>
      </c>
    </row>
    <row r="12" spans="1:37" s="85" customFormat="1" ht="12.75">
      <c r="A12" s="112">
        <v>104</v>
      </c>
      <c r="B12" s="109" t="s">
        <v>122</v>
      </c>
      <c r="C12" s="78" t="s">
        <v>74</v>
      </c>
      <c r="D12" s="89" t="s">
        <v>91</v>
      </c>
      <c r="E12" s="110">
        <v>14.9</v>
      </c>
      <c r="F12" s="214">
        <f t="shared" si="0"/>
        <v>676</v>
      </c>
      <c r="G12" s="169" t="str">
        <f t="shared" si="1"/>
        <v>G3</v>
      </c>
      <c r="H12" s="111">
        <v>11.66</v>
      </c>
      <c r="I12" s="210">
        <f t="shared" si="2"/>
        <v>586</v>
      </c>
      <c r="J12" s="212" t="str">
        <f t="shared" si="3"/>
        <v>G3</v>
      </c>
      <c r="K12" s="111">
        <v>5.75</v>
      </c>
      <c r="L12" s="210">
        <f t="shared" si="4"/>
        <v>533</v>
      </c>
      <c r="M12" s="212" t="str">
        <f t="shared" si="5"/>
        <v>G3</v>
      </c>
      <c r="N12" s="111">
        <v>0</v>
      </c>
      <c r="O12" s="210">
        <f t="shared" si="6"/>
        <v>0</v>
      </c>
      <c r="P12" s="212">
        <f t="shared" si="7"/>
        <v>0</v>
      </c>
      <c r="Q12" s="86">
        <v>0.0016122685185185187</v>
      </c>
      <c r="R12" s="214">
        <f t="shared" si="8"/>
        <v>461</v>
      </c>
      <c r="S12" s="169">
        <f t="shared" si="9"/>
        <v>0</v>
      </c>
      <c r="T12" s="100">
        <f t="shared" si="14"/>
        <v>2256</v>
      </c>
      <c r="U12" s="101">
        <f t="shared" si="10"/>
        <v>1</v>
      </c>
      <c r="V12" s="104">
        <f t="shared" si="11"/>
        <v>2</v>
      </c>
      <c r="W12" s="87" t="str">
        <f t="shared" si="12"/>
        <v>5*</v>
      </c>
      <c r="X12" s="227"/>
      <c r="Y12" s="226"/>
      <c r="Z12" s="226"/>
      <c r="AA12" s="226"/>
      <c r="AI12" s="113"/>
      <c r="AK12" s="165">
        <f t="shared" si="13"/>
        <v>2256</v>
      </c>
    </row>
    <row r="13" spans="1:37" s="85" customFormat="1" ht="12.75">
      <c r="A13" s="90"/>
      <c r="B13" s="109"/>
      <c r="C13" s="78"/>
      <c r="D13" s="89"/>
      <c r="E13" s="110"/>
      <c r="F13" s="214"/>
      <c r="G13" s="169">
        <f t="shared" si="1"/>
        <v>0</v>
      </c>
      <c r="H13" s="111"/>
      <c r="I13" s="210">
        <f t="shared" si="2"/>
        <v>0</v>
      </c>
      <c r="J13" s="212">
        <f t="shared" si="3"/>
        <v>0</v>
      </c>
      <c r="K13" s="111"/>
      <c r="L13" s="210">
        <f t="shared" si="4"/>
        <v>0</v>
      </c>
      <c r="M13" s="212">
        <f t="shared" si="5"/>
        <v>0</v>
      </c>
      <c r="N13" s="111"/>
      <c r="O13" s="210">
        <f t="shared" si="6"/>
        <v>0</v>
      </c>
      <c r="P13" s="212">
        <f t="shared" si="7"/>
        <v>0</v>
      </c>
      <c r="Q13" s="86"/>
      <c r="R13" s="214">
        <f t="shared" si="8"/>
        <v>0</v>
      </c>
      <c r="S13" s="169">
        <f t="shared" si="9"/>
        <v>0</v>
      </c>
      <c r="T13" s="100">
        <f t="shared" si="14"/>
        <v>0</v>
      </c>
      <c r="U13" s="101">
        <f t="shared" si="10"/>
      </c>
      <c r="V13" s="104">
        <f t="shared" si="11"/>
      </c>
      <c r="W13" s="87">
        <f t="shared" si="12"/>
      </c>
      <c r="AI13" s="113"/>
      <c r="AK13" s="165">
        <f t="shared" si="13"/>
        <v>0</v>
      </c>
    </row>
    <row r="14" spans="1:37" ht="12.75">
      <c r="A14" s="90"/>
      <c r="B14" s="91"/>
      <c r="C14" s="78"/>
      <c r="D14" s="89"/>
      <c r="E14" s="94"/>
      <c r="F14" s="214">
        <f aca="true" t="shared" si="15" ref="F14:F35">IF(E14="DNF",0,IF(E14=0,0,ROUNDDOWN(INDEX(ESAA_U17M_100mH,1,3)*(INDEX(ESAA_U17M_100mH,1,4)-E14-0.24)^INDEX(ESAA_U17M_100mH,1,5),0)))</f>
        <v>0</v>
      </c>
      <c r="G14" s="169">
        <f t="shared" si="1"/>
        <v>0</v>
      </c>
      <c r="H14" s="111"/>
      <c r="I14" s="210">
        <f t="shared" si="2"/>
        <v>0</v>
      </c>
      <c r="J14" s="212">
        <f t="shared" si="3"/>
        <v>0</v>
      </c>
      <c r="K14" s="111"/>
      <c r="L14" s="210">
        <f t="shared" si="4"/>
        <v>0</v>
      </c>
      <c r="M14" s="212">
        <f t="shared" si="5"/>
        <v>0</v>
      </c>
      <c r="N14" s="111"/>
      <c r="O14" s="210">
        <f t="shared" si="6"/>
        <v>0</v>
      </c>
      <c r="P14" s="212">
        <f t="shared" si="7"/>
        <v>0</v>
      </c>
      <c r="Q14" s="86"/>
      <c r="R14" s="214">
        <f t="shared" si="8"/>
        <v>0</v>
      </c>
      <c r="S14" s="169">
        <f t="shared" si="9"/>
        <v>0</v>
      </c>
      <c r="T14" s="100">
        <f t="shared" si="14"/>
        <v>0</v>
      </c>
      <c r="U14" s="101">
        <f t="shared" si="10"/>
      </c>
      <c r="V14" s="104">
        <f t="shared" si="11"/>
      </c>
      <c r="W14" s="87">
        <f t="shared" si="12"/>
      </c>
      <c r="AK14" s="165">
        <f t="shared" si="13"/>
        <v>0</v>
      </c>
    </row>
    <row r="15" spans="1:37" ht="12.75">
      <c r="A15" s="90"/>
      <c r="B15" s="91"/>
      <c r="C15" s="78"/>
      <c r="D15" s="89"/>
      <c r="E15" s="94"/>
      <c r="F15" s="214">
        <f t="shared" si="15"/>
        <v>0</v>
      </c>
      <c r="G15" s="169">
        <f t="shared" si="1"/>
        <v>0</v>
      </c>
      <c r="H15" s="111"/>
      <c r="I15" s="210">
        <f t="shared" si="2"/>
        <v>0</v>
      </c>
      <c r="J15" s="212">
        <f t="shared" si="3"/>
        <v>0</v>
      </c>
      <c r="K15" s="111"/>
      <c r="L15" s="210">
        <f t="shared" si="4"/>
        <v>0</v>
      </c>
      <c r="M15" s="212">
        <f t="shared" si="5"/>
        <v>0</v>
      </c>
      <c r="N15" s="111"/>
      <c r="O15" s="210">
        <f t="shared" si="6"/>
        <v>0</v>
      </c>
      <c r="P15" s="212">
        <f t="shared" si="7"/>
        <v>0</v>
      </c>
      <c r="Q15" s="86"/>
      <c r="R15" s="214">
        <f t="shared" si="8"/>
        <v>0</v>
      </c>
      <c r="S15" s="169">
        <f t="shared" si="9"/>
        <v>0</v>
      </c>
      <c r="T15" s="100">
        <f t="shared" si="14"/>
        <v>0</v>
      </c>
      <c r="U15" s="101">
        <f t="shared" si="10"/>
      </c>
      <c r="V15" s="104">
        <f t="shared" si="11"/>
      </c>
      <c r="W15" s="87">
        <f t="shared" si="12"/>
      </c>
      <c r="AK15" s="165">
        <f t="shared" si="13"/>
        <v>0</v>
      </c>
    </row>
    <row r="16" spans="1:37" ht="12.75">
      <c r="A16" s="90"/>
      <c r="B16" s="91"/>
      <c r="C16" s="78"/>
      <c r="D16" s="89"/>
      <c r="E16" s="94"/>
      <c r="F16" s="214">
        <f t="shared" si="15"/>
        <v>0</v>
      </c>
      <c r="G16" s="169">
        <f t="shared" si="1"/>
        <v>0</v>
      </c>
      <c r="H16" s="111"/>
      <c r="I16" s="210">
        <f t="shared" si="2"/>
        <v>0</v>
      </c>
      <c r="J16" s="212">
        <f t="shared" si="3"/>
        <v>0</v>
      </c>
      <c r="K16" s="111"/>
      <c r="L16" s="210">
        <f t="shared" si="4"/>
        <v>0</v>
      </c>
      <c r="M16" s="212">
        <f t="shared" si="5"/>
        <v>0</v>
      </c>
      <c r="N16" s="111"/>
      <c r="O16" s="210">
        <f t="shared" si="6"/>
        <v>0</v>
      </c>
      <c r="P16" s="212">
        <f t="shared" si="7"/>
        <v>0</v>
      </c>
      <c r="Q16" s="86"/>
      <c r="R16" s="214">
        <f t="shared" si="8"/>
        <v>0</v>
      </c>
      <c r="S16" s="169">
        <f t="shared" si="9"/>
        <v>0</v>
      </c>
      <c r="T16" s="100">
        <f t="shared" si="14"/>
        <v>0</v>
      </c>
      <c r="U16" s="101">
        <f t="shared" si="10"/>
      </c>
      <c r="V16" s="104">
        <f t="shared" si="11"/>
      </c>
      <c r="W16" s="87">
        <f t="shared" si="12"/>
      </c>
      <c r="AK16" s="165">
        <f t="shared" si="13"/>
        <v>0</v>
      </c>
    </row>
    <row r="17" spans="1:37" ht="12.75">
      <c r="A17" s="90"/>
      <c r="B17" s="91"/>
      <c r="C17" s="78"/>
      <c r="D17" s="89"/>
      <c r="E17" s="94"/>
      <c r="F17" s="214">
        <f t="shared" si="15"/>
        <v>0</v>
      </c>
      <c r="G17" s="169">
        <f t="shared" si="1"/>
        <v>0</v>
      </c>
      <c r="H17" s="111"/>
      <c r="I17" s="210">
        <f t="shared" si="2"/>
        <v>0</v>
      </c>
      <c r="J17" s="212">
        <f t="shared" si="3"/>
        <v>0</v>
      </c>
      <c r="K17" s="111"/>
      <c r="L17" s="210">
        <f t="shared" si="4"/>
        <v>0</v>
      </c>
      <c r="M17" s="212">
        <f t="shared" si="5"/>
        <v>0</v>
      </c>
      <c r="N17" s="111"/>
      <c r="O17" s="210">
        <f t="shared" si="6"/>
        <v>0</v>
      </c>
      <c r="P17" s="212">
        <f t="shared" si="7"/>
        <v>0</v>
      </c>
      <c r="Q17" s="86"/>
      <c r="R17" s="214">
        <f t="shared" si="8"/>
        <v>0</v>
      </c>
      <c r="S17" s="169">
        <f t="shared" si="9"/>
        <v>0</v>
      </c>
      <c r="T17" s="100">
        <f t="shared" si="14"/>
        <v>0</v>
      </c>
      <c r="U17" s="101">
        <f t="shared" si="10"/>
      </c>
      <c r="V17" s="104">
        <f t="shared" si="11"/>
      </c>
      <c r="W17" s="87">
        <f t="shared" si="12"/>
      </c>
      <c r="AK17" s="165">
        <f t="shared" si="13"/>
        <v>0</v>
      </c>
    </row>
    <row r="18" spans="1:37" ht="12.75">
      <c r="A18" s="90"/>
      <c r="B18" s="91"/>
      <c r="C18" s="78"/>
      <c r="D18" s="89"/>
      <c r="E18" s="94"/>
      <c r="F18" s="214">
        <f t="shared" si="15"/>
        <v>0</v>
      </c>
      <c r="G18" s="169">
        <f t="shared" si="1"/>
        <v>0</v>
      </c>
      <c r="H18" s="111"/>
      <c r="I18" s="210">
        <f t="shared" si="2"/>
        <v>0</v>
      </c>
      <c r="J18" s="212">
        <f t="shared" si="3"/>
        <v>0</v>
      </c>
      <c r="K18" s="111"/>
      <c r="L18" s="210">
        <f t="shared" si="4"/>
        <v>0</v>
      </c>
      <c r="M18" s="212">
        <f t="shared" si="5"/>
        <v>0</v>
      </c>
      <c r="N18" s="111"/>
      <c r="O18" s="210">
        <f t="shared" si="6"/>
        <v>0</v>
      </c>
      <c r="P18" s="212">
        <f t="shared" si="7"/>
        <v>0</v>
      </c>
      <c r="Q18" s="86"/>
      <c r="R18" s="214">
        <f t="shared" si="8"/>
        <v>0</v>
      </c>
      <c r="S18" s="169">
        <f t="shared" si="9"/>
        <v>0</v>
      </c>
      <c r="T18" s="100">
        <f t="shared" si="14"/>
        <v>0</v>
      </c>
      <c r="U18" s="101">
        <f t="shared" si="10"/>
      </c>
      <c r="V18" s="104">
        <f t="shared" si="11"/>
      </c>
      <c r="W18" s="87">
        <f t="shared" si="12"/>
      </c>
      <c r="AK18" s="165">
        <f t="shared" si="13"/>
        <v>0</v>
      </c>
    </row>
    <row r="19" spans="1:37" ht="12.75">
      <c r="A19" s="90"/>
      <c r="B19" s="91"/>
      <c r="C19" s="78"/>
      <c r="D19" s="89"/>
      <c r="E19" s="94"/>
      <c r="F19" s="214">
        <f t="shared" si="15"/>
        <v>0</v>
      </c>
      <c r="G19" s="169">
        <f t="shared" si="1"/>
        <v>0</v>
      </c>
      <c r="H19" s="111"/>
      <c r="I19" s="210">
        <f t="shared" si="2"/>
        <v>0</v>
      </c>
      <c r="J19" s="212">
        <f t="shared" si="3"/>
        <v>0</v>
      </c>
      <c r="K19" s="111"/>
      <c r="L19" s="210">
        <f t="shared" si="4"/>
        <v>0</v>
      </c>
      <c r="M19" s="212">
        <f t="shared" si="5"/>
        <v>0</v>
      </c>
      <c r="N19" s="111"/>
      <c r="O19" s="210">
        <f t="shared" si="6"/>
        <v>0</v>
      </c>
      <c r="P19" s="212">
        <f t="shared" si="7"/>
        <v>0</v>
      </c>
      <c r="Q19" s="86"/>
      <c r="R19" s="214">
        <f t="shared" si="8"/>
        <v>0</v>
      </c>
      <c r="S19" s="169">
        <f t="shared" si="9"/>
        <v>0</v>
      </c>
      <c r="T19" s="100">
        <f t="shared" si="14"/>
        <v>0</v>
      </c>
      <c r="U19" s="101">
        <f t="shared" si="10"/>
      </c>
      <c r="V19" s="104">
        <f t="shared" si="11"/>
      </c>
      <c r="W19" s="87">
        <f t="shared" si="12"/>
      </c>
      <c r="AK19" s="165">
        <f t="shared" si="13"/>
        <v>0</v>
      </c>
    </row>
    <row r="20" spans="1:37" ht="12.75">
      <c r="A20" s="90"/>
      <c r="B20" s="91"/>
      <c r="C20" s="78"/>
      <c r="D20" s="89"/>
      <c r="E20" s="94"/>
      <c r="F20" s="214">
        <f t="shared" si="15"/>
        <v>0</v>
      </c>
      <c r="G20" s="169">
        <f t="shared" si="1"/>
        <v>0</v>
      </c>
      <c r="H20" s="111"/>
      <c r="I20" s="210">
        <f t="shared" si="2"/>
        <v>0</v>
      </c>
      <c r="J20" s="212">
        <f t="shared" si="3"/>
        <v>0</v>
      </c>
      <c r="K20" s="111"/>
      <c r="L20" s="210">
        <f t="shared" si="4"/>
        <v>0</v>
      </c>
      <c r="M20" s="212">
        <f t="shared" si="5"/>
        <v>0</v>
      </c>
      <c r="N20" s="111"/>
      <c r="O20" s="210">
        <f t="shared" si="6"/>
        <v>0</v>
      </c>
      <c r="P20" s="212">
        <f t="shared" si="7"/>
        <v>0</v>
      </c>
      <c r="Q20" s="86"/>
      <c r="R20" s="214">
        <f t="shared" si="8"/>
        <v>0</v>
      </c>
      <c r="S20" s="169">
        <f t="shared" si="9"/>
        <v>0</v>
      </c>
      <c r="T20" s="100">
        <f t="shared" si="14"/>
        <v>0</v>
      </c>
      <c r="U20" s="101">
        <f t="shared" si="10"/>
      </c>
      <c r="V20" s="104">
        <f t="shared" si="11"/>
      </c>
      <c r="W20" s="87">
        <f t="shared" si="12"/>
      </c>
      <c r="AK20" s="165">
        <f t="shared" si="13"/>
        <v>0</v>
      </c>
    </row>
    <row r="21" spans="1:37" ht="12.75">
      <c r="A21" s="90"/>
      <c r="B21" s="91"/>
      <c r="C21" s="78"/>
      <c r="D21" s="89"/>
      <c r="E21" s="94"/>
      <c r="F21" s="214">
        <f t="shared" si="15"/>
        <v>0</v>
      </c>
      <c r="G21" s="169">
        <f t="shared" si="1"/>
        <v>0</v>
      </c>
      <c r="H21" s="111"/>
      <c r="I21" s="210">
        <f t="shared" si="2"/>
        <v>0</v>
      </c>
      <c r="J21" s="212">
        <f t="shared" si="3"/>
        <v>0</v>
      </c>
      <c r="K21" s="111"/>
      <c r="L21" s="210">
        <f t="shared" si="4"/>
        <v>0</v>
      </c>
      <c r="M21" s="212">
        <f t="shared" si="5"/>
        <v>0</v>
      </c>
      <c r="N21" s="111"/>
      <c r="O21" s="210">
        <f t="shared" si="6"/>
        <v>0</v>
      </c>
      <c r="P21" s="212">
        <f t="shared" si="7"/>
        <v>0</v>
      </c>
      <c r="Q21" s="86"/>
      <c r="R21" s="214">
        <f t="shared" si="8"/>
        <v>0</v>
      </c>
      <c r="S21" s="169">
        <f t="shared" si="9"/>
        <v>0</v>
      </c>
      <c r="T21" s="100">
        <f t="shared" si="14"/>
        <v>0</v>
      </c>
      <c r="U21" s="101">
        <f t="shared" si="10"/>
      </c>
      <c r="V21" s="104">
        <f t="shared" si="11"/>
      </c>
      <c r="W21" s="87">
        <f t="shared" si="12"/>
      </c>
      <c r="AK21" s="165">
        <f t="shared" si="13"/>
        <v>0</v>
      </c>
    </row>
    <row r="22" spans="1:37" ht="12.75">
      <c r="A22" s="90"/>
      <c r="B22" s="91"/>
      <c r="C22" s="78"/>
      <c r="D22" s="89"/>
      <c r="E22" s="94"/>
      <c r="F22" s="214">
        <f t="shared" si="15"/>
        <v>0</v>
      </c>
      <c r="G22" s="169">
        <f t="shared" si="1"/>
        <v>0</v>
      </c>
      <c r="H22" s="111"/>
      <c r="I22" s="210">
        <f t="shared" si="2"/>
        <v>0</v>
      </c>
      <c r="J22" s="212">
        <f t="shared" si="3"/>
        <v>0</v>
      </c>
      <c r="K22" s="111"/>
      <c r="L22" s="210">
        <f t="shared" si="4"/>
        <v>0</v>
      </c>
      <c r="M22" s="212">
        <f t="shared" si="5"/>
        <v>0</v>
      </c>
      <c r="N22" s="111"/>
      <c r="O22" s="210">
        <f t="shared" si="6"/>
        <v>0</v>
      </c>
      <c r="P22" s="212">
        <f t="shared" si="7"/>
        <v>0</v>
      </c>
      <c r="Q22" s="86"/>
      <c r="R22" s="214">
        <f t="shared" si="8"/>
        <v>0</v>
      </c>
      <c r="S22" s="169">
        <f t="shared" si="9"/>
        <v>0</v>
      </c>
      <c r="T22" s="100">
        <f t="shared" si="14"/>
        <v>0</v>
      </c>
      <c r="U22" s="101">
        <f t="shared" si="10"/>
      </c>
      <c r="V22" s="104">
        <f t="shared" si="11"/>
      </c>
      <c r="W22" s="87">
        <f t="shared" si="12"/>
      </c>
      <c r="AK22" s="165">
        <f t="shared" si="13"/>
        <v>0</v>
      </c>
    </row>
    <row r="23" spans="1:37" ht="12.75">
      <c r="A23" s="90"/>
      <c r="B23" s="91"/>
      <c r="C23" s="78"/>
      <c r="D23" s="89"/>
      <c r="E23" s="94"/>
      <c r="F23" s="214">
        <f t="shared" si="15"/>
        <v>0</v>
      </c>
      <c r="G23" s="169">
        <f t="shared" si="1"/>
        <v>0</v>
      </c>
      <c r="H23" s="111"/>
      <c r="I23" s="210">
        <f t="shared" si="2"/>
        <v>0</v>
      </c>
      <c r="J23" s="212">
        <f t="shared" si="3"/>
        <v>0</v>
      </c>
      <c r="K23" s="111"/>
      <c r="L23" s="210">
        <f t="shared" si="4"/>
        <v>0</v>
      </c>
      <c r="M23" s="212">
        <f t="shared" si="5"/>
        <v>0</v>
      </c>
      <c r="N23" s="111"/>
      <c r="O23" s="210">
        <f t="shared" si="6"/>
        <v>0</v>
      </c>
      <c r="P23" s="212">
        <f t="shared" si="7"/>
        <v>0</v>
      </c>
      <c r="Q23" s="86"/>
      <c r="R23" s="214">
        <f t="shared" si="8"/>
        <v>0</v>
      </c>
      <c r="S23" s="169">
        <f t="shared" si="9"/>
        <v>0</v>
      </c>
      <c r="T23" s="100">
        <f t="shared" si="14"/>
        <v>0</v>
      </c>
      <c r="U23" s="101">
        <f t="shared" si="10"/>
      </c>
      <c r="V23" s="104">
        <f t="shared" si="11"/>
      </c>
      <c r="W23" s="87">
        <f t="shared" si="12"/>
      </c>
      <c r="AK23" s="165">
        <f t="shared" si="13"/>
        <v>0</v>
      </c>
    </row>
    <row r="24" spans="1:37" ht="12.75">
      <c r="A24" s="90"/>
      <c r="B24" s="91"/>
      <c r="C24" s="78"/>
      <c r="D24" s="89"/>
      <c r="E24" s="94"/>
      <c r="F24" s="214">
        <f t="shared" si="15"/>
        <v>0</v>
      </c>
      <c r="G24" s="169">
        <f t="shared" si="1"/>
        <v>0</v>
      </c>
      <c r="H24" s="111"/>
      <c r="I24" s="210">
        <f t="shared" si="2"/>
        <v>0</v>
      </c>
      <c r="J24" s="212">
        <f t="shared" si="3"/>
        <v>0</v>
      </c>
      <c r="K24" s="111"/>
      <c r="L24" s="210">
        <f t="shared" si="4"/>
        <v>0</v>
      </c>
      <c r="M24" s="212">
        <f t="shared" si="5"/>
        <v>0</v>
      </c>
      <c r="N24" s="111"/>
      <c r="O24" s="210">
        <f t="shared" si="6"/>
        <v>0</v>
      </c>
      <c r="P24" s="212">
        <f t="shared" si="7"/>
        <v>0</v>
      </c>
      <c r="Q24" s="86"/>
      <c r="R24" s="214">
        <f t="shared" si="8"/>
        <v>0</v>
      </c>
      <c r="S24" s="169">
        <f t="shared" si="9"/>
        <v>0</v>
      </c>
      <c r="T24" s="100">
        <f t="shared" si="14"/>
        <v>0</v>
      </c>
      <c r="U24" s="101">
        <f t="shared" si="10"/>
      </c>
      <c r="V24" s="104">
        <f t="shared" si="11"/>
      </c>
      <c r="W24" s="87">
        <f t="shared" si="12"/>
      </c>
      <c r="AK24" s="165">
        <f t="shared" si="13"/>
        <v>0</v>
      </c>
    </row>
    <row r="25" spans="1:37" ht="12.75">
      <c r="A25" s="90"/>
      <c r="B25" s="91"/>
      <c r="C25" s="78"/>
      <c r="D25" s="89"/>
      <c r="E25" s="94"/>
      <c r="F25" s="214">
        <f t="shared" si="15"/>
        <v>0</v>
      </c>
      <c r="G25" s="169">
        <f t="shared" si="1"/>
        <v>0</v>
      </c>
      <c r="H25" s="119"/>
      <c r="I25" s="210">
        <f t="shared" si="2"/>
        <v>0</v>
      </c>
      <c r="J25" s="212">
        <f t="shared" si="3"/>
        <v>0</v>
      </c>
      <c r="K25" s="119"/>
      <c r="L25" s="210">
        <f t="shared" si="4"/>
        <v>0</v>
      </c>
      <c r="M25" s="212">
        <f t="shared" si="5"/>
        <v>0</v>
      </c>
      <c r="N25" s="119"/>
      <c r="O25" s="210">
        <f t="shared" si="6"/>
        <v>0</v>
      </c>
      <c r="P25" s="212">
        <f t="shared" si="7"/>
        <v>0</v>
      </c>
      <c r="Q25" s="86"/>
      <c r="R25" s="214">
        <f t="shared" si="8"/>
        <v>0</v>
      </c>
      <c r="S25" s="169">
        <f t="shared" si="9"/>
        <v>0</v>
      </c>
      <c r="T25" s="100">
        <f t="shared" si="14"/>
        <v>0</v>
      </c>
      <c r="U25" s="101">
        <f t="shared" si="10"/>
      </c>
      <c r="V25" s="104">
        <f t="shared" si="11"/>
      </c>
      <c r="W25" s="87">
        <f t="shared" si="12"/>
      </c>
      <c r="AK25" s="165">
        <f t="shared" si="13"/>
        <v>0</v>
      </c>
    </row>
    <row r="26" spans="1:37" ht="12.75">
      <c r="A26" s="90"/>
      <c r="B26" s="91"/>
      <c r="C26" s="78"/>
      <c r="D26" s="89"/>
      <c r="E26" s="94"/>
      <c r="F26" s="214">
        <f t="shared" si="15"/>
        <v>0</v>
      </c>
      <c r="G26" s="169">
        <f t="shared" si="1"/>
        <v>0</v>
      </c>
      <c r="H26" s="119"/>
      <c r="I26" s="210">
        <f t="shared" si="2"/>
        <v>0</v>
      </c>
      <c r="J26" s="212">
        <f t="shared" si="3"/>
        <v>0</v>
      </c>
      <c r="K26" s="119"/>
      <c r="L26" s="210">
        <f t="shared" si="4"/>
        <v>0</v>
      </c>
      <c r="M26" s="212">
        <f t="shared" si="5"/>
        <v>0</v>
      </c>
      <c r="N26" s="119"/>
      <c r="O26" s="210">
        <f t="shared" si="6"/>
        <v>0</v>
      </c>
      <c r="P26" s="212">
        <f t="shared" si="7"/>
        <v>0</v>
      </c>
      <c r="Q26" s="86"/>
      <c r="R26" s="214">
        <f t="shared" si="8"/>
        <v>0</v>
      </c>
      <c r="S26" s="169">
        <f t="shared" si="9"/>
        <v>0</v>
      </c>
      <c r="T26" s="100">
        <f t="shared" si="14"/>
        <v>0</v>
      </c>
      <c r="U26" s="101">
        <f t="shared" si="10"/>
      </c>
      <c r="V26" s="104">
        <f t="shared" si="11"/>
      </c>
      <c r="W26" s="87">
        <f t="shared" si="12"/>
      </c>
      <c r="AK26" s="165">
        <f t="shared" si="13"/>
        <v>0</v>
      </c>
    </row>
    <row r="27" spans="1:37" ht="12.75">
      <c r="A27" s="90"/>
      <c r="B27" s="91"/>
      <c r="C27" s="78"/>
      <c r="D27" s="89"/>
      <c r="E27" s="94"/>
      <c r="F27" s="214">
        <f t="shared" si="15"/>
        <v>0</v>
      </c>
      <c r="G27" s="169">
        <f t="shared" si="1"/>
        <v>0</v>
      </c>
      <c r="H27" s="119"/>
      <c r="I27" s="210">
        <f t="shared" si="2"/>
        <v>0</v>
      </c>
      <c r="J27" s="212">
        <f t="shared" si="3"/>
        <v>0</v>
      </c>
      <c r="K27" s="119"/>
      <c r="L27" s="210">
        <f t="shared" si="4"/>
        <v>0</v>
      </c>
      <c r="M27" s="212">
        <f t="shared" si="5"/>
        <v>0</v>
      </c>
      <c r="N27" s="119"/>
      <c r="O27" s="210">
        <f t="shared" si="6"/>
        <v>0</v>
      </c>
      <c r="P27" s="212">
        <f t="shared" si="7"/>
        <v>0</v>
      </c>
      <c r="Q27" s="86"/>
      <c r="R27" s="214">
        <f t="shared" si="8"/>
        <v>0</v>
      </c>
      <c r="S27" s="169">
        <f t="shared" si="9"/>
        <v>0</v>
      </c>
      <c r="T27" s="100">
        <f t="shared" si="14"/>
        <v>0</v>
      </c>
      <c r="U27" s="101">
        <f t="shared" si="10"/>
      </c>
      <c r="V27" s="104">
        <f t="shared" si="11"/>
      </c>
      <c r="W27" s="87">
        <f t="shared" si="12"/>
      </c>
      <c r="AK27" s="165">
        <f t="shared" si="13"/>
        <v>0</v>
      </c>
    </row>
    <row r="28" spans="1:37" ht="12.75">
      <c r="A28" s="90"/>
      <c r="B28" s="91"/>
      <c r="C28" s="78"/>
      <c r="D28" s="89"/>
      <c r="E28" s="94"/>
      <c r="F28" s="214">
        <f t="shared" si="15"/>
        <v>0</v>
      </c>
      <c r="G28" s="169">
        <f t="shared" si="1"/>
        <v>0</v>
      </c>
      <c r="H28" s="119"/>
      <c r="I28" s="210">
        <f t="shared" si="2"/>
        <v>0</v>
      </c>
      <c r="J28" s="212">
        <f t="shared" si="3"/>
        <v>0</v>
      </c>
      <c r="K28" s="119"/>
      <c r="L28" s="210">
        <f t="shared" si="4"/>
        <v>0</v>
      </c>
      <c r="M28" s="212">
        <f t="shared" si="5"/>
        <v>0</v>
      </c>
      <c r="N28" s="119"/>
      <c r="O28" s="210">
        <f t="shared" si="6"/>
        <v>0</v>
      </c>
      <c r="P28" s="212">
        <f t="shared" si="7"/>
        <v>0</v>
      </c>
      <c r="Q28" s="86"/>
      <c r="R28" s="214">
        <f t="shared" si="8"/>
        <v>0</v>
      </c>
      <c r="S28" s="169">
        <f t="shared" si="9"/>
        <v>0</v>
      </c>
      <c r="T28" s="100">
        <f t="shared" si="14"/>
        <v>0</v>
      </c>
      <c r="U28" s="101">
        <f t="shared" si="10"/>
      </c>
      <c r="V28" s="104">
        <f t="shared" si="11"/>
      </c>
      <c r="W28" s="87">
        <f t="shared" si="12"/>
      </c>
      <c r="AK28" s="165">
        <f t="shared" si="13"/>
        <v>0</v>
      </c>
    </row>
    <row r="29" spans="1:37" ht="12.75">
      <c r="A29" s="90"/>
      <c r="B29" s="91"/>
      <c r="C29" s="78"/>
      <c r="D29" s="89"/>
      <c r="E29" s="94"/>
      <c r="F29" s="214">
        <f t="shared" si="15"/>
        <v>0</v>
      </c>
      <c r="G29" s="169">
        <f t="shared" si="1"/>
        <v>0</v>
      </c>
      <c r="H29" s="119"/>
      <c r="I29" s="210">
        <f t="shared" si="2"/>
        <v>0</v>
      </c>
      <c r="J29" s="212">
        <f t="shared" si="3"/>
        <v>0</v>
      </c>
      <c r="K29" s="119"/>
      <c r="L29" s="210">
        <f t="shared" si="4"/>
        <v>0</v>
      </c>
      <c r="M29" s="212">
        <f t="shared" si="5"/>
        <v>0</v>
      </c>
      <c r="N29" s="119"/>
      <c r="O29" s="210">
        <f t="shared" si="6"/>
        <v>0</v>
      </c>
      <c r="P29" s="212">
        <f t="shared" si="7"/>
        <v>0</v>
      </c>
      <c r="Q29" s="86"/>
      <c r="R29" s="214">
        <f t="shared" si="8"/>
        <v>0</v>
      </c>
      <c r="S29" s="169">
        <f t="shared" si="9"/>
        <v>0</v>
      </c>
      <c r="T29" s="100">
        <f t="shared" si="14"/>
        <v>0</v>
      </c>
      <c r="U29" s="101">
        <f t="shared" si="10"/>
      </c>
      <c r="V29" s="104">
        <f t="shared" si="11"/>
      </c>
      <c r="W29" s="87">
        <f t="shared" si="12"/>
      </c>
      <c r="AK29" s="165">
        <f t="shared" si="13"/>
        <v>0</v>
      </c>
    </row>
    <row r="30" spans="1:37" ht="12.75">
      <c r="A30" s="90"/>
      <c r="B30" s="91"/>
      <c r="C30" s="78"/>
      <c r="D30" s="89"/>
      <c r="E30" s="94"/>
      <c r="F30" s="214">
        <f t="shared" si="15"/>
        <v>0</v>
      </c>
      <c r="G30" s="169">
        <f t="shared" si="1"/>
        <v>0</v>
      </c>
      <c r="H30" s="119"/>
      <c r="I30" s="210">
        <f t="shared" si="2"/>
        <v>0</v>
      </c>
      <c r="J30" s="212">
        <f t="shared" si="3"/>
        <v>0</v>
      </c>
      <c r="K30" s="119"/>
      <c r="L30" s="210">
        <f t="shared" si="4"/>
        <v>0</v>
      </c>
      <c r="M30" s="212">
        <f t="shared" si="5"/>
        <v>0</v>
      </c>
      <c r="N30" s="119"/>
      <c r="O30" s="210">
        <f t="shared" si="6"/>
        <v>0</v>
      </c>
      <c r="P30" s="212">
        <f t="shared" si="7"/>
        <v>0</v>
      </c>
      <c r="Q30" s="86"/>
      <c r="R30" s="214">
        <f t="shared" si="8"/>
        <v>0</v>
      </c>
      <c r="S30" s="169">
        <f t="shared" si="9"/>
        <v>0</v>
      </c>
      <c r="T30" s="100">
        <f t="shared" si="14"/>
        <v>0</v>
      </c>
      <c r="U30" s="101">
        <f t="shared" si="10"/>
      </c>
      <c r="V30" s="104">
        <f t="shared" si="11"/>
      </c>
      <c r="W30" s="87">
        <f t="shared" si="12"/>
      </c>
      <c r="AK30" s="165">
        <f t="shared" si="13"/>
        <v>0</v>
      </c>
    </row>
    <row r="31" spans="1:37" ht="12.75">
      <c r="A31" s="90"/>
      <c r="B31" s="91"/>
      <c r="C31" s="78"/>
      <c r="D31" s="89"/>
      <c r="E31" s="94"/>
      <c r="F31" s="214">
        <f t="shared" si="15"/>
        <v>0</v>
      </c>
      <c r="G31" s="169">
        <f t="shared" si="1"/>
        <v>0</v>
      </c>
      <c r="H31" s="119"/>
      <c r="I31" s="210">
        <f t="shared" si="2"/>
        <v>0</v>
      </c>
      <c r="J31" s="212">
        <f t="shared" si="3"/>
        <v>0</v>
      </c>
      <c r="K31" s="119"/>
      <c r="L31" s="210">
        <f t="shared" si="4"/>
        <v>0</v>
      </c>
      <c r="M31" s="212">
        <f t="shared" si="5"/>
        <v>0</v>
      </c>
      <c r="N31" s="119"/>
      <c r="O31" s="210">
        <f t="shared" si="6"/>
        <v>0</v>
      </c>
      <c r="P31" s="212">
        <f t="shared" si="7"/>
        <v>0</v>
      </c>
      <c r="Q31" s="86"/>
      <c r="R31" s="214">
        <f t="shared" si="8"/>
        <v>0</v>
      </c>
      <c r="S31" s="169">
        <f t="shared" si="9"/>
        <v>0</v>
      </c>
      <c r="T31" s="100">
        <f>SUM(F31,I31,L31,O31,,R31)</f>
        <v>0</v>
      </c>
      <c r="U31" s="101">
        <f t="shared" si="10"/>
      </c>
      <c r="V31" s="104">
        <f t="shared" si="11"/>
      </c>
      <c r="W31" s="87">
        <f>IF(T31&lt;15,"",HLOOKUP(T31,T_U13B_3_Events,5))</f>
      </c>
      <c r="AK31" s="165">
        <f t="shared" si="13"/>
        <v>0</v>
      </c>
    </row>
    <row r="32" spans="1:37" ht="12.75">
      <c r="A32" s="90"/>
      <c r="B32" s="91"/>
      <c r="C32" s="78"/>
      <c r="D32" s="89"/>
      <c r="E32" s="94"/>
      <c r="F32" s="214">
        <f t="shared" si="15"/>
        <v>0</v>
      </c>
      <c r="G32" s="169">
        <f t="shared" si="1"/>
        <v>0</v>
      </c>
      <c r="H32" s="119"/>
      <c r="I32" s="210">
        <f t="shared" si="2"/>
        <v>0</v>
      </c>
      <c r="J32" s="212">
        <f t="shared" si="3"/>
        <v>0</v>
      </c>
      <c r="K32" s="119"/>
      <c r="L32" s="210">
        <f t="shared" si="4"/>
        <v>0</v>
      </c>
      <c r="M32" s="212">
        <f t="shared" si="5"/>
        <v>0</v>
      </c>
      <c r="N32" s="119"/>
      <c r="O32" s="210">
        <f t="shared" si="6"/>
        <v>0</v>
      </c>
      <c r="P32" s="212">
        <f t="shared" si="7"/>
        <v>0</v>
      </c>
      <c r="Q32" s="86"/>
      <c r="R32" s="214">
        <f t="shared" si="8"/>
        <v>0</v>
      </c>
      <c r="S32" s="169">
        <f t="shared" si="9"/>
        <v>0</v>
      </c>
      <c r="T32" s="100">
        <f>SUM(F32,I32,L32,O32,,R32)</f>
        <v>0</v>
      </c>
      <c r="U32" s="101">
        <f t="shared" si="10"/>
      </c>
      <c r="V32" s="104">
        <f t="shared" si="11"/>
      </c>
      <c r="W32" s="87">
        <f>IF(T32&lt;15,"",HLOOKUP(T32,T_U13B_3_Events,5))</f>
      </c>
      <c r="AK32" s="165">
        <f t="shared" si="13"/>
        <v>0</v>
      </c>
    </row>
    <row r="33" spans="1:37" ht="12.75">
      <c r="A33" s="90"/>
      <c r="B33" s="91"/>
      <c r="C33" s="78"/>
      <c r="D33" s="89"/>
      <c r="E33" s="94"/>
      <c r="F33" s="214">
        <f t="shared" si="15"/>
        <v>0</v>
      </c>
      <c r="G33" s="169">
        <f t="shared" si="1"/>
        <v>0</v>
      </c>
      <c r="H33" s="119"/>
      <c r="I33" s="210">
        <f t="shared" si="2"/>
        <v>0</v>
      </c>
      <c r="J33" s="212">
        <f t="shared" si="3"/>
        <v>0</v>
      </c>
      <c r="K33" s="119"/>
      <c r="L33" s="210">
        <f t="shared" si="4"/>
        <v>0</v>
      </c>
      <c r="M33" s="212">
        <f t="shared" si="5"/>
        <v>0</v>
      </c>
      <c r="N33" s="119"/>
      <c r="O33" s="210">
        <f t="shared" si="6"/>
        <v>0</v>
      </c>
      <c r="P33" s="212">
        <f t="shared" si="7"/>
        <v>0</v>
      </c>
      <c r="Q33" s="86"/>
      <c r="R33" s="214">
        <f t="shared" si="8"/>
        <v>0</v>
      </c>
      <c r="S33" s="169">
        <f t="shared" si="9"/>
        <v>0</v>
      </c>
      <c r="T33" s="100">
        <f>SUM(F33,I33,L33,O33,,R33)</f>
        <v>0</v>
      </c>
      <c r="U33" s="101">
        <f t="shared" si="10"/>
      </c>
      <c r="V33" s="104">
        <f t="shared" si="11"/>
      </c>
      <c r="W33" s="87">
        <f>IF(T33&lt;15,"",HLOOKUP(T33,T_U13B_3_Events,5))</f>
      </c>
      <c r="AK33" s="165">
        <f t="shared" si="13"/>
        <v>0</v>
      </c>
    </row>
    <row r="34" spans="1:37" ht="12.75">
      <c r="A34" s="90"/>
      <c r="B34" s="91"/>
      <c r="C34" s="78"/>
      <c r="D34" s="89"/>
      <c r="E34" s="94"/>
      <c r="F34" s="214">
        <f t="shared" si="15"/>
        <v>0</v>
      </c>
      <c r="G34" s="169">
        <f t="shared" si="1"/>
        <v>0</v>
      </c>
      <c r="H34" s="119"/>
      <c r="I34" s="210">
        <f t="shared" si="2"/>
        <v>0</v>
      </c>
      <c r="J34" s="212">
        <f t="shared" si="3"/>
        <v>0</v>
      </c>
      <c r="K34" s="119"/>
      <c r="L34" s="210">
        <f t="shared" si="4"/>
        <v>0</v>
      </c>
      <c r="M34" s="212">
        <f t="shared" si="5"/>
        <v>0</v>
      </c>
      <c r="N34" s="119"/>
      <c r="O34" s="210">
        <f t="shared" si="6"/>
        <v>0</v>
      </c>
      <c r="P34" s="212">
        <f t="shared" si="7"/>
        <v>0</v>
      </c>
      <c r="Q34" s="86"/>
      <c r="R34" s="214">
        <f t="shared" si="8"/>
        <v>0</v>
      </c>
      <c r="S34" s="169">
        <f t="shared" si="9"/>
        <v>0</v>
      </c>
      <c r="T34" s="100">
        <f>SUM(F34,I34,L34,O34,,R34)</f>
        <v>0</v>
      </c>
      <c r="U34" s="101">
        <f t="shared" si="10"/>
      </c>
      <c r="V34" s="104">
        <f t="shared" si="11"/>
      </c>
      <c r="W34" s="87">
        <f>IF(T34&lt;15,"",HLOOKUP(T34,T_U13B_3_Events,5))</f>
      </c>
      <c r="AK34" s="165">
        <f t="shared" si="13"/>
        <v>0</v>
      </c>
    </row>
    <row r="35" spans="1:37" ht="12.75">
      <c r="A35" s="90"/>
      <c r="B35" s="91"/>
      <c r="C35" s="78"/>
      <c r="D35" s="89"/>
      <c r="E35" s="94"/>
      <c r="F35" s="214">
        <f t="shared" si="15"/>
        <v>0</v>
      </c>
      <c r="G35" s="215">
        <f t="shared" si="1"/>
        <v>0</v>
      </c>
      <c r="H35" s="119"/>
      <c r="I35" s="210">
        <f t="shared" si="2"/>
        <v>0</v>
      </c>
      <c r="J35" s="212">
        <f t="shared" si="3"/>
        <v>0</v>
      </c>
      <c r="K35" s="119"/>
      <c r="L35" s="210">
        <f t="shared" si="4"/>
        <v>0</v>
      </c>
      <c r="M35" s="212">
        <f t="shared" si="5"/>
        <v>0</v>
      </c>
      <c r="N35" s="119"/>
      <c r="O35" s="210">
        <f t="shared" si="6"/>
        <v>0</v>
      </c>
      <c r="P35" s="212">
        <f t="shared" si="7"/>
        <v>0</v>
      </c>
      <c r="Q35" s="86"/>
      <c r="R35" s="214">
        <f t="shared" si="8"/>
        <v>0</v>
      </c>
      <c r="S35" s="215">
        <f t="shared" si="9"/>
        <v>0</v>
      </c>
      <c r="T35" s="100">
        <f>SUM(F35,I35,L35,O35,,R35)</f>
        <v>0</v>
      </c>
      <c r="U35" s="101">
        <f t="shared" si="10"/>
      </c>
      <c r="V35" s="104">
        <f t="shared" si="11"/>
      </c>
      <c r="W35" s="95">
        <f>IF(T35&lt;15,"",HLOOKUP(T35,T_U13B_3_Events,5))</f>
      </c>
      <c r="AK35" s="165">
        <f t="shared" si="13"/>
        <v>0</v>
      </c>
    </row>
    <row r="36" spans="1:22" ht="12.75">
      <c r="A36" s="96"/>
      <c r="B36" s="96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</sheetData>
  <sheetProtection sheet="1" objects="1" scenarios="1"/>
  <mergeCells count="2">
    <mergeCell ref="A1:W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2" fitToWidth="1" orientation="landscape" paperSize="9" scale="89" r:id="rId1"/>
  <headerFooter alignWithMargins="0">
    <oddFooter>&amp;L&amp;8Points for Shot, Long Jump &amp; High Jump in accordance with IAAF Scoring Tables 2004
Points for 100m Hurdles &amp; 800m in  accordance with ESAA Scoring Tables 2007
AAA Grades Table 2007/2008&amp;R&amp;8NT = No Throw
NJ = No Jump
DNF = Did Not Finish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14"/>
    <pageSetUpPr fitToPage="1"/>
  </sheetPr>
  <dimension ref="A1:AF38"/>
  <sheetViews>
    <sheetView showZeros="0" zoomScalePageLayoutView="0" workbookViewId="0" topLeftCell="A1">
      <selection activeCell="R7" sqref="R7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7.8515625" style="55" bestFit="1" customWidth="1"/>
    <col min="6" max="6" width="6.57421875" style="55" customWidth="1"/>
    <col min="7" max="7" width="3.421875" style="55" bestFit="1" customWidth="1"/>
    <col min="8" max="8" width="7.8515625" style="55" customWidth="1"/>
    <col min="9" max="9" width="6.57421875" style="55" bestFit="1" customWidth="1"/>
    <col min="10" max="10" width="3.421875" style="55" bestFit="1" customWidth="1"/>
    <col min="11" max="11" width="6.7109375" style="55" customWidth="1"/>
    <col min="12" max="12" width="6.57421875" style="55" bestFit="1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00390625" style="55" customWidth="1"/>
    <col min="18" max="18" width="7.421875" style="55" customWidth="1"/>
    <col min="19" max="19" width="3.421875" style="55" bestFit="1" customWidth="1"/>
    <col min="20" max="20" width="8.421875" style="55" bestFit="1" customWidth="1"/>
    <col min="21" max="21" width="8.421875" style="55" customWidth="1"/>
    <col min="22" max="22" width="7.28125" style="55" customWidth="1"/>
    <col min="23" max="23" width="0" style="55" hidden="1" customWidth="1"/>
    <col min="24" max="28" width="9.8515625" style="51" customWidth="1"/>
    <col min="29" max="30" width="9.140625" style="51" customWidth="1"/>
    <col min="31" max="31" width="6.28125" style="51" hidden="1" customWidth="1"/>
    <col min="32" max="32" width="8.421875" style="51" bestFit="1" customWidth="1"/>
    <col min="33" max="16384" width="9.140625" style="51" customWidth="1"/>
  </cols>
  <sheetData>
    <row r="1" spans="1:23" ht="22.5" customHeight="1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ht="12.75">
      <c r="A2" s="60"/>
      <c r="B2" s="52"/>
      <c r="C2" s="52"/>
      <c r="D2" s="53"/>
      <c r="E2" s="54"/>
      <c r="F2" s="54"/>
      <c r="G2" s="54"/>
      <c r="H2" s="240" t="s">
        <v>124</v>
      </c>
      <c r="I2" s="240"/>
      <c r="J2" s="240"/>
      <c r="K2" s="240"/>
      <c r="L2" s="240"/>
      <c r="M2" s="198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V3" s="106"/>
      <c r="W3" s="53"/>
    </row>
    <row r="4" spans="1:28" ht="12.75">
      <c r="A4" s="59" t="s">
        <v>64</v>
      </c>
      <c r="B4" s="59"/>
      <c r="C4" s="60" t="str">
        <f>ArrangedBy</f>
        <v>Handforth W A A C</v>
      </c>
      <c r="D4" s="54"/>
      <c r="H4" s="61" t="s">
        <v>62</v>
      </c>
      <c r="I4" s="62"/>
      <c r="K4" s="63" t="s">
        <v>60</v>
      </c>
      <c r="O4" s="54"/>
      <c r="Q4" s="54"/>
      <c r="R4" s="62" t="s">
        <v>87</v>
      </c>
      <c r="T4" s="63" t="str">
        <f>Date</f>
        <v>3rd July 2008</v>
      </c>
      <c r="U4" s="63"/>
      <c r="V4" s="54"/>
      <c r="X4" s="55"/>
      <c r="Y4" s="55"/>
      <c r="Z4" s="55"/>
      <c r="AA4" s="55"/>
      <c r="AB4" s="55"/>
    </row>
    <row r="5" spans="1:23" ht="12.75">
      <c r="A5" s="59" t="s">
        <v>65</v>
      </c>
      <c r="B5" s="59"/>
      <c r="C5" s="60">
        <f>Sponsor</f>
        <v>0</v>
      </c>
      <c r="D5" s="54"/>
      <c r="H5" s="61" t="s">
        <v>63</v>
      </c>
      <c r="I5" s="62"/>
      <c r="K5" s="63" t="s">
        <v>61</v>
      </c>
      <c r="O5" s="54"/>
      <c r="Q5" s="54"/>
      <c r="R5" s="54"/>
      <c r="T5" s="54"/>
      <c r="U5" s="54"/>
      <c r="V5" s="54"/>
      <c r="W5" s="54"/>
    </row>
    <row r="6" spans="1:31" s="75" customFormat="1" ht="38.25">
      <c r="A6" s="64" t="s">
        <v>0</v>
      </c>
      <c r="B6" s="65" t="s">
        <v>1</v>
      </c>
      <c r="C6" s="65" t="s">
        <v>2</v>
      </c>
      <c r="D6" s="66" t="s">
        <v>89</v>
      </c>
      <c r="E6" s="107" t="s">
        <v>67</v>
      </c>
      <c r="F6" s="207" t="s">
        <v>11</v>
      </c>
      <c r="G6" s="208" t="s">
        <v>208</v>
      </c>
      <c r="H6" s="69" t="s">
        <v>22</v>
      </c>
      <c r="I6" s="209" t="s">
        <v>11</v>
      </c>
      <c r="J6" s="211" t="s">
        <v>208</v>
      </c>
      <c r="K6" s="69" t="s">
        <v>50</v>
      </c>
      <c r="L6" s="209" t="s">
        <v>11</v>
      </c>
      <c r="M6" s="211" t="s">
        <v>208</v>
      </c>
      <c r="N6" s="69" t="s">
        <v>52</v>
      </c>
      <c r="O6" s="209" t="s">
        <v>11</v>
      </c>
      <c r="P6" s="211" t="s">
        <v>208</v>
      </c>
      <c r="Q6" s="118" t="s">
        <v>4</v>
      </c>
      <c r="R6" s="207" t="s">
        <v>11</v>
      </c>
      <c r="S6" s="208" t="s">
        <v>208</v>
      </c>
      <c r="T6" s="72" t="s">
        <v>69</v>
      </c>
      <c r="U6" s="66" t="s">
        <v>129</v>
      </c>
      <c r="V6" s="73" t="s">
        <v>130</v>
      </c>
      <c r="W6" s="108" t="s">
        <v>38</v>
      </c>
      <c r="X6" s="74"/>
      <c r="Y6" s="74"/>
      <c r="Z6" s="74"/>
      <c r="AA6" s="74"/>
      <c r="AB6" s="74"/>
      <c r="AE6" s="164" t="s">
        <v>93</v>
      </c>
    </row>
    <row r="7" spans="1:32" s="85" customFormat="1" ht="12.75">
      <c r="A7" s="90">
        <v>117</v>
      </c>
      <c r="B7" s="109" t="s">
        <v>137</v>
      </c>
      <c r="C7" s="78" t="s">
        <v>140</v>
      </c>
      <c r="D7" s="89" t="s">
        <v>92</v>
      </c>
      <c r="E7" s="110">
        <v>13</v>
      </c>
      <c r="F7" s="206">
        <f aca="true" t="shared" si="0" ref="F7:F35">IF(E7="DNF",0,IF(E7=0,0,IF(E7&gt;23.7,"0",VLOOKUP(ROUNDUP(E7,1),T_ESAA_U17G_80mH,2,TRUE))))</f>
        <v>675</v>
      </c>
      <c r="G7" s="169" t="str">
        <f aca="true" t="shared" si="1" ref="G7:G35">IF(F7=0,0,IF(E7&lt;=INDEX(AAA_U17W_80mH,1,1),"G1",IF(E7&lt;=INDEX(AAA_U17W_80mH,1,2),"G2",IF(E7&lt;=INDEX(AAA_U17W_80mH,1,3),"G3",IF(E7&lt;=INDEX(AAA_U17W_80mH,1,4),"G4",0)))))</f>
        <v>G4</v>
      </c>
      <c r="H7" s="111">
        <v>6.6</v>
      </c>
      <c r="I7" s="210">
        <f aca="true" t="shared" si="2" ref="I7:I35">IF(H7="NT",0,IF(H7=0,0,ROUNDDOWN(INDEX(WP_Shot,1,3)*(H7-INDEX(WP_Shot,1,4))^INDEX(WP_Shot,1,5),0)))</f>
        <v>309</v>
      </c>
      <c r="J7" s="212">
        <f aca="true" t="shared" si="3" ref="J7:J35">IF(I7=0,0,IF(H7&gt;=INDEX(AAA_U17W_Shot,1,1),"G1",IF(H7&gt;=INDEX(AAA_U17W_Shot,1,2),"G2",IF(H7&gt;=INDEX(AAA_U17W_Shot,1,3),"G3",IF(H7&gt;=INDEX(AAA_U17W_Shot,1,4),"G4",0)))))</f>
        <v>0</v>
      </c>
      <c r="K7" s="111">
        <v>4.57</v>
      </c>
      <c r="L7" s="210">
        <f aca="true" t="shared" si="4" ref="L7:L35">IF(K7="NJ",0,IF(K7=0,0,ROUNDDOWN(INDEX(WP_LJ,1,3)*(K7*100-INDEX(WP_LJ,1,4))^INDEX(WP_LJ,1,5),0)))</f>
        <v>446</v>
      </c>
      <c r="M7" s="212" t="str">
        <f aca="true" t="shared" si="5" ref="M7:M35">IF(L7=0,0,IF(K7&gt;=INDEX(AAA_U17W_LJ,1,1),"G1",IF(K7&gt;=INDEX(AAA_U17W_LJ,1,2),"G2",IF(K7&gt;=INDEX(AAA_U17W_LJ,1,3),"G3",IF(K7&gt;=INDEX(AAA_U17W_LJ,1,4),"G4",0)))))</f>
        <v>G4</v>
      </c>
      <c r="N7" s="111">
        <v>1.24</v>
      </c>
      <c r="O7" s="210">
        <f aca="true" t="shared" si="6" ref="O7:O35">IF(N7="NJ",0,IF(N7=0,0,ROUNDDOWN(INDEX(WP_HJ,1,3)*(N7*100-INDEX(WP_HJ,1,4))^INDEX(WP_HJ,1,5),0)))</f>
        <v>350</v>
      </c>
      <c r="P7" s="212">
        <f aca="true" t="shared" si="7" ref="P7:P35">IF(O7=0,0,IF(N7&gt;=INDEX(AAA_U17W_HJ,1,1),"G1",IF(N7&gt;=INDEX(AAA_U17W_HJ,1,2),"G2",IF(N7&gt;=INDEX(AAA_U17W_HJ,1,3),"G3",IF(N7&gt;=INDEX(AAA_U17W_HJ,1,4),"G4",0)))))</f>
        <v>0</v>
      </c>
      <c r="Q7" s="86">
        <v>0.0020682870370370373</v>
      </c>
      <c r="R7" s="214">
        <f aca="true" t="shared" si="8" ref="R7:R35">IF(Q7="DNF",0,IF(Q7=0,0,ROUNDDOWN(INDEX(WP_800m,1,3)*(INDEX(WP_800m,1,4)-Q7*24*60*60)^INDEX(WP_800m,1,5),0)))</f>
        <v>377</v>
      </c>
      <c r="S7" s="169">
        <f aca="true" t="shared" si="9" ref="S7:S35">IF(R7=0,0,IF(Q7&lt;=INDEX(AAA_U17W_800m,1,1),"G1",IF(Q7&lt;=INDEX(AAA_U17W_800m,1,2),"G2",IF(Q7&lt;=INDEX(AAA_U17W_800m,1,3),"G3",IF(Q7&lt;=INDEX(AAA_U17W_800m,1,4),"G4",0)))))</f>
        <v>0</v>
      </c>
      <c r="T7" s="100">
        <f aca="true" t="shared" si="10" ref="T7:T34">SUM(F7,I7,L7,O7,,R7)</f>
        <v>2157</v>
      </c>
      <c r="U7" s="101">
        <f aca="true" t="shared" si="11" ref="U7:U35">IF(AE7=0,"",RANK(T7,AE$7:AE$35))</f>
      </c>
      <c r="V7" s="104">
        <f aca="true" t="shared" si="12" ref="V7:V35">IF(T7=0,"",RANK(T7,T$7:T$35))</f>
        <v>3</v>
      </c>
      <c r="W7" s="87" t="str">
        <f aca="true" t="shared" si="13" ref="W7:W34">IF(T7&lt;15,"",HLOOKUP(T7,T_U13B_3_Events,5))</f>
        <v>5*</v>
      </c>
      <c r="X7" s="84"/>
      <c r="Y7" s="84"/>
      <c r="Z7" s="84"/>
      <c r="AA7" s="84"/>
      <c r="AB7" s="84"/>
      <c r="AC7" s="120"/>
      <c r="AD7" s="122"/>
      <c r="AE7" s="165">
        <f aca="true" t="shared" si="14" ref="AE7:AE34">IF(D7="C",T7,0)</f>
        <v>0</v>
      </c>
      <c r="AF7" s="121"/>
    </row>
    <row r="8" spans="1:31" s="85" customFormat="1" ht="12.75">
      <c r="A8" s="112">
        <v>118</v>
      </c>
      <c r="B8" s="109" t="s">
        <v>138</v>
      </c>
      <c r="C8" s="78" t="s">
        <v>141</v>
      </c>
      <c r="D8" s="89" t="s">
        <v>91</v>
      </c>
      <c r="E8" s="110">
        <v>13.4</v>
      </c>
      <c r="F8" s="206">
        <f t="shared" si="0"/>
        <v>630</v>
      </c>
      <c r="G8" s="169" t="str">
        <f t="shared" si="1"/>
        <v>G4</v>
      </c>
      <c r="H8" s="111">
        <v>6.7</v>
      </c>
      <c r="I8" s="210">
        <f t="shared" si="2"/>
        <v>316</v>
      </c>
      <c r="J8" s="212" t="str">
        <f t="shared" si="3"/>
        <v>G4</v>
      </c>
      <c r="K8" s="111">
        <v>4.43</v>
      </c>
      <c r="L8" s="210">
        <f t="shared" si="4"/>
        <v>411</v>
      </c>
      <c r="M8" s="212" t="str">
        <f t="shared" si="5"/>
        <v>G4</v>
      </c>
      <c r="N8" s="111">
        <v>1.39</v>
      </c>
      <c r="O8" s="210">
        <f t="shared" si="6"/>
        <v>502</v>
      </c>
      <c r="P8" s="212">
        <f t="shared" si="7"/>
        <v>0</v>
      </c>
      <c r="Q8" s="86">
        <v>0.001875</v>
      </c>
      <c r="R8" s="214">
        <f t="shared" si="8"/>
        <v>550</v>
      </c>
      <c r="S8" s="169">
        <f t="shared" si="9"/>
        <v>0</v>
      </c>
      <c r="T8" s="100">
        <f t="shared" si="10"/>
        <v>2409</v>
      </c>
      <c r="U8" s="101">
        <f t="shared" si="11"/>
        <v>1</v>
      </c>
      <c r="V8" s="104">
        <f t="shared" si="12"/>
        <v>1</v>
      </c>
      <c r="W8" s="87" t="str">
        <f t="shared" si="13"/>
        <v>5*</v>
      </c>
      <c r="AE8" s="165">
        <f t="shared" si="14"/>
        <v>2409</v>
      </c>
    </row>
    <row r="9" spans="1:31" s="85" customFormat="1" ht="12.75">
      <c r="A9" s="112">
        <v>119</v>
      </c>
      <c r="B9" s="109" t="s">
        <v>56</v>
      </c>
      <c r="C9" s="78" t="s">
        <v>77</v>
      </c>
      <c r="D9" s="89" t="s">
        <v>92</v>
      </c>
      <c r="E9" s="110">
        <v>17</v>
      </c>
      <c r="F9" s="206">
        <f t="shared" si="0"/>
        <v>327</v>
      </c>
      <c r="G9" s="169">
        <f t="shared" si="1"/>
        <v>0</v>
      </c>
      <c r="H9" s="111">
        <v>5.7</v>
      </c>
      <c r="I9" s="210">
        <f t="shared" si="2"/>
        <v>252</v>
      </c>
      <c r="J9" s="212">
        <f t="shared" si="3"/>
        <v>0</v>
      </c>
      <c r="K9" s="111">
        <v>3.94</v>
      </c>
      <c r="L9" s="210">
        <f t="shared" si="4"/>
        <v>294</v>
      </c>
      <c r="M9" s="212">
        <f t="shared" si="5"/>
        <v>0</v>
      </c>
      <c r="N9" s="111">
        <v>1.42</v>
      </c>
      <c r="O9" s="210">
        <f t="shared" si="6"/>
        <v>534</v>
      </c>
      <c r="P9" s="212">
        <f t="shared" si="7"/>
        <v>0</v>
      </c>
      <c r="Q9" s="86">
        <v>0.002074074074074074</v>
      </c>
      <c r="R9" s="214">
        <f t="shared" si="8"/>
        <v>373</v>
      </c>
      <c r="S9" s="169">
        <f t="shared" si="9"/>
        <v>0</v>
      </c>
      <c r="T9" s="100">
        <f t="shared" si="10"/>
        <v>1780</v>
      </c>
      <c r="U9" s="101">
        <f t="shared" si="11"/>
      </c>
      <c r="V9" s="104">
        <f t="shared" si="12"/>
        <v>4</v>
      </c>
      <c r="W9" s="87" t="str">
        <f t="shared" si="13"/>
        <v>5*</v>
      </c>
      <c r="AE9" s="165">
        <f t="shared" si="14"/>
        <v>0</v>
      </c>
    </row>
    <row r="10" spans="1:31" s="85" customFormat="1" ht="12.75">
      <c r="A10" s="90">
        <v>120</v>
      </c>
      <c r="B10" s="109" t="s">
        <v>55</v>
      </c>
      <c r="C10" s="78" t="s">
        <v>74</v>
      </c>
      <c r="D10" s="89" t="s">
        <v>91</v>
      </c>
      <c r="E10" s="110">
        <v>13.5</v>
      </c>
      <c r="F10" s="206">
        <f t="shared" si="0"/>
        <v>620</v>
      </c>
      <c r="G10" s="169" t="str">
        <f t="shared" si="1"/>
        <v>G4</v>
      </c>
      <c r="H10" s="111">
        <v>5.71</v>
      </c>
      <c r="I10" s="210">
        <f t="shared" si="2"/>
        <v>253</v>
      </c>
      <c r="J10" s="212">
        <f t="shared" si="3"/>
        <v>0</v>
      </c>
      <c r="K10" s="111">
        <v>4.5</v>
      </c>
      <c r="L10" s="210">
        <f t="shared" si="4"/>
        <v>428</v>
      </c>
      <c r="M10" s="212" t="str">
        <f t="shared" si="5"/>
        <v>G4</v>
      </c>
      <c r="N10" s="111">
        <v>1.42</v>
      </c>
      <c r="O10" s="210">
        <f t="shared" si="6"/>
        <v>534</v>
      </c>
      <c r="P10" s="212">
        <f t="shared" si="7"/>
        <v>0</v>
      </c>
      <c r="Q10" s="86">
        <v>0.0018877314814814816</v>
      </c>
      <c r="R10" s="214">
        <f t="shared" si="8"/>
        <v>538</v>
      </c>
      <c r="S10" s="169">
        <f t="shared" si="9"/>
        <v>0</v>
      </c>
      <c r="T10" s="100">
        <f t="shared" si="10"/>
        <v>2373</v>
      </c>
      <c r="U10" s="101">
        <f t="shared" si="11"/>
        <v>2</v>
      </c>
      <c r="V10" s="104">
        <f t="shared" si="12"/>
        <v>2</v>
      </c>
      <c r="W10" s="87" t="str">
        <f t="shared" si="13"/>
        <v>5*</v>
      </c>
      <c r="AC10" s="113"/>
      <c r="AE10" s="165">
        <f t="shared" si="14"/>
        <v>2373</v>
      </c>
    </row>
    <row r="11" spans="1:31" s="85" customFormat="1" ht="12.75">
      <c r="A11" s="112">
        <v>121</v>
      </c>
      <c r="B11" s="109" t="s">
        <v>139</v>
      </c>
      <c r="C11" s="78" t="s">
        <v>74</v>
      </c>
      <c r="D11" s="89" t="s">
        <v>91</v>
      </c>
      <c r="E11" s="110">
        <v>16.7</v>
      </c>
      <c r="F11" s="206">
        <f t="shared" si="0"/>
        <v>348</v>
      </c>
      <c r="G11" s="169">
        <f t="shared" si="1"/>
        <v>0</v>
      </c>
      <c r="H11" s="111">
        <v>7.02</v>
      </c>
      <c r="I11" s="210">
        <f t="shared" si="2"/>
        <v>336</v>
      </c>
      <c r="J11" s="212" t="str">
        <f t="shared" si="3"/>
        <v>G4</v>
      </c>
      <c r="K11" s="111">
        <v>3.6</v>
      </c>
      <c r="L11" s="210">
        <f t="shared" si="4"/>
        <v>220</v>
      </c>
      <c r="M11" s="212">
        <f t="shared" si="5"/>
        <v>0</v>
      </c>
      <c r="N11" s="111">
        <v>1.27</v>
      </c>
      <c r="O11" s="210">
        <f t="shared" si="6"/>
        <v>379</v>
      </c>
      <c r="P11" s="212">
        <f t="shared" si="7"/>
        <v>0</v>
      </c>
      <c r="Q11" s="86">
        <v>0.0023252314814814815</v>
      </c>
      <c r="R11" s="214">
        <f t="shared" si="8"/>
        <v>195</v>
      </c>
      <c r="S11" s="169">
        <f t="shared" si="9"/>
        <v>0</v>
      </c>
      <c r="T11" s="100">
        <f t="shared" si="10"/>
        <v>1478</v>
      </c>
      <c r="U11" s="101">
        <f t="shared" si="11"/>
        <v>3</v>
      </c>
      <c r="V11" s="104">
        <f t="shared" si="12"/>
        <v>5</v>
      </c>
      <c r="W11" s="87" t="str">
        <f t="shared" si="13"/>
        <v>5*</v>
      </c>
      <c r="AC11" s="113"/>
      <c r="AE11" s="165">
        <f t="shared" si="14"/>
        <v>1478</v>
      </c>
    </row>
    <row r="12" spans="1:31" s="85" customFormat="1" ht="12.75">
      <c r="A12" s="112"/>
      <c r="B12" s="109"/>
      <c r="C12" s="78"/>
      <c r="D12" s="89"/>
      <c r="E12" s="110"/>
      <c r="F12" s="206">
        <f t="shared" si="0"/>
        <v>0</v>
      </c>
      <c r="G12" s="169">
        <f t="shared" si="1"/>
        <v>0</v>
      </c>
      <c r="H12" s="111"/>
      <c r="I12" s="210">
        <f t="shared" si="2"/>
        <v>0</v>
      </c>
      <c r="J12" s="212">
        <f t="shared" si="3"/>
        <v>0</v>
      </c>
      <c r="K12" s="111"/>
      <c r="L12" s="210">
        <f t="shared" si="4"/>
        <v>0</v>
      </c>
      <c r="M12" s="212">
        <f t="shared" si="5"/>
        <v>0</v>
      </c>
      <c r="N12" s="111"/>
      <c r="O12" s="210">
        <f t="shared" si="6"/>
        <v>0</v>
      </c>
      <c r="P12" s="212">
        <f t="shared" si="7"/>
        <v>0</v>
      </c>
      <c r="Q12" s="86"/>
      <c r="R12" s="214">
        <f t="shared" si="8"/>
        <v>0</v>
      </c>
      <c r="S12" s="169">
        <f t="shared" si="9"/>
        <v>0</v>
      </c>
      <c r="T12" s="100">
        <f t="shared" si="10"/>
        <v>0</v>
      </c>
      <c r="U12" s="101">
        <f t="shared" si="11"/>
      </c>
      <c r="V12" s="104">
        <f t="shared" si="12"/>
      </c>
      <c r="W12" s="87">
        <f t="shared" si="13"/>
      </c>
      <c r="AC12" s="113"/>
      <c r="AE12" s="165">
        <f t="shared" si="14"/>
        <v>0</v>
      </c>
    </row>
    <row r="13" spans="1:31" s="85" customFormat="1" ht="12.75">
      <c r="A13" s="90"/>
      <c r="B13" s="109"/>
      <c r="C13" s="78"/>
      <c r="D13" s="89"/>
      <c r="E13" s="110"/>
      <c r="F13" s="206">
        <f t="shared" si="0"/>
        <v>0</v>
      </c>
      <c r="G13" s="169">
        <f t="shared" si="1"/>
        <v>0</v>
      </c>
      <c r="H13" s="111"/>
      <c r="I13" s="210">
        <f t="shared" si="2"/>
        <v>0</v>
      </c>
      <c r="J13" s="212">
        <f t="shared" si="3"/>
        <v>0</v>
      </c>
      <c r="K13" s="111"/>
      <c r="L13" s="210">
        <f t="shared" si="4"/>
        <v>0</v>
      </c>
      <c r="M13" s="212">
        <f t="shared" si="5"/>
        <v>0</v>
      </c>
      <c r="N13" s="111"/>
      <c r="O13" s="210">
        <f t="shared" si="6"/>
        <v>0</v>
      </c>
      <c r="P13" s="212">
        <f t="shared" si="7"/>
        <v>0</v>
      </c>
      <c r="Q13" s="86"/>
      <c r="R13" s="214">
        <f t="shared" si="8"/>
        <v>0</v>
      </c>
      <c r="S13" s="169">
        <f t="shared" si="9"/>
        <v>0</v>
      </c>
      <c r="T13" s="100">
        <f t="shared" si="10"/>
        <v>0</v>
      </c>
      <c r="U13" s="101">
        <f t="shared" si="11"/>
      </c>
      <c r="V13" s="104">
        <f t="shared" si="12"/>
      </c>
      <c r="W13" s="87">
        <f t="shared" si="13"/>
      </c>
      <c r="AC13" s="113"/>
      <c r="AE13" s="165">
        <f t="shared" si="14"/>
        <v>0</v>
      </c>
    </row>
    <row r="14" spans="1:31" s="85" customFormat="1" ht="12.75">
      <c r="A14" s="90"/>
      <c r="B14" s="109"/>
      <c r="C14" s="78"/>
      <c r="D14" s="89"/>
      <c r="E14" s="110"/>
      <c r="F14" s="206">
        <f t="shared" si="0"/>
        <v>0</v>
      </c>
      <c r="G14" s="169">
        <f t="shared" si="1"/>
        <v>0</v>
      </c>
      <c r="H14" s="111"/>
      <c r="I14" s="210">
        <f t="shared" si="2"/>
        <v>0</v>
      </c>
      <c r="J14" s="212">
        <f t="shared" si="3"/>
        <v>0</v>
      </c>
      <c r="K14" s="111"/>
      <c r="L14" s="210">
        <f t="shared" si="4"/>
        <v>0</v>
      </c>
      <c r="M14" s="212">
        <f t="shared" si="5"/>
        <v>0</v>
      </c>
      <c r="N14" s="111"/>
      <c r="O14" s="210">
        <f t="shared" si="6"/>
        <v>0</v>
      </c>
      <c r="P14" s="212">
        <f t="shared" si="7"/>
        <v>0</v>
      </c>
      <c r="Q14" s="86"/>
      <c r="R14" s="214">
        <f t="shared" si="8"/>
        <v>0</v>
      </c>
      <c r="S14" s="169">
        <f t="shared" si="9"/>
        <v>0</v>
      </c>
      <c r="T14" s="100">
        <f t="shared" si="10"/>
        <v>0</v>
      </c>
      <c r="U14" s="101">
        <f t="shared" si="11"/>
      </c>
      <c r="V14" s="104">
        <f t="shared" si="12"/>
      </c>
      <c r="W14" s="87">
        <f t="shared" si="13"/>
      </c>
      <c r="AC14" s="113"/>
      <c r="AE14" s="165">
        <f t="shared" si="14"/>
        <v>0</v>
      </c>
    </row>
    <row r="15" spans="1:31" s="85" customFormat="1" ht="12.75">
      <c r="A15" s="90"/>
      <c r="B15" s="109"/>
      <c r="C15" s="78"/>
      <c r="D15" s="89"/>
      <c r="E15" s="110"/>
      <c r="F15" s="206">
        <f t="shared" si="0"/>
        <v>0</v>
      </c>
      <c r="G15" s="169">
        <f t="shared" si="1"/>
        <v>0</v>
      </c>
      <c r="H15" s="111"/>
      <c r="I15" s="210">
        <f t="shared" si="2"/>
        <v>0</v>
      </c>
      <c r="J15" s="212">
        <f t="shared" si="3"/>
        <v>0</v>
      </c>
      <c r="K15" s="111"/>
      <c r="L15" s="210">
        <f t="shared" si="4"/>
        <v>0</v>
      </c>
      <c r="M15" s="212">
        <f t="shared" si="5"/>
        <v>0</v>
      </c>
      <c r="N15" s="111"/>
      <c r="O15" s="210">
        <f t="shared" si="6"/>
        <v>0</v>
      </c>
      <c r="P15" s="212">
        <f t="shared" si="7"/>
        <v>0</v>
      </c>
      <c r="Q15" s="86"/>
      <c r="R15" s="214">
        <f t="shared" si="8"/>
        <v>0</v>
      </c>
      <c r="S15" s="169">
        <f t="shared" si="9"/>
        <v>0</v>
      </c>
      <c r="T15" s="100">
        <f t="shared" si="10"/>
        <v>0</v>
      </c>
      <c r="U15" s="101">
        <f t="shared" si="11"/>
      </c>
      <c r="V15" s="104">
        <f t="shared" si="12"/>
      </c>
      <c r="W15" s="87">
        <f t="shared" si="13"/>
      </c>
      <c r="AC15" s="113"/>
      <c r="AE15" s="165">
        <f t="shared" si="14"/>
        <v>0</v>
      </c>
    </row>
    <row r="16" spans="1:31" s="85" customFormat="1" ht="12.75">
      <c r="A16" s="90"/>
      <c r="B16" s="109"/>
      <c r="C16" s="78"/>
      <c r="D16" s="89"/>
      <c r="E16" s="110"/>
      <c r="F16" s="206">
        <f t="shared" si="0"/>
        <v>0</v>
      </c>
      <c r="G16" s="169">
        <f t="shared" si="1"/>
        <v>0</v>
      </c>
      <c r="H16" s="111"/>
      <c r="I16" s="210">
        <f t="shared" si="2"/>
        <v>0</v>
      </c>
      <c r="J16" s="212">
        <f t="shared" si="3"/>
        <v>0</v>
      </c>
      <c r="K16" s="111"/>
      <c r="L16" s="210">
        <f t="shared" si="4"/>
        <v>0</v>
      </c>
      <c r="M16" s="212">
        <f t="shared" si="5"/>
        <v>0</v>
      </c>
      <c r="N16" s="111"/>
      <c r="O16" s="210">
        <f t="shared" si="6"/>
        <v>0</v>
      </c>
      <c r="P16" s="212">
        <f t="shared" si="7"/>
        <v>0</v>
      </c>
      <c r="Q16" s="86"/>
      <c r="R16" s="214">
        <f t="shared" si="8"/>
        <v>0</v>
      </c>
      <c r="S16" s="169">
        <f t="shared" si="9"/>
        <v>0</v>
      </c>
      <c r="T16" s="100">
        <f t="shared" si="10"/>
        <v>0</v>
      </c>
      <c r="U16" s="101">
        <f t="shared" si="11"/>
      </c>
      <c r="V16" s="104">
        <f t="shared" si="12"/>
      </c>
      <c r="W16" s="87">
        <f t="shared" si="13"/>
      </c>
      <c r="AC16" s="113"/>
      <c r="AE16" s="165">
        <f t="shared" si="14"/>
        <v>0</v>
      </c>
    </row>
    <row r="17" spans="1:31" s="85" customFormat="1" ht="12.75">
      <c r="A17" s="112"/>
      <c r="B17" s="109"/>
      <c r="C17" s="78"/>
      <c r="D17" s="89"/>
      <c r="E17" s="110"/>
      <c r="F17" s="206">
        <f t="shared" si="0"/>
        <v>0</v>
      </c>
      <c r="G17" s="169">
        <f t="shared" si="1"/>
        <v>0</v>
      </c>
      <c r="H17" s="111"/>
      <c r="I17" s="210">
        <f t="shared" si="2"/>
        <v>0</v>
      </c>
      <c r="J17" s="212">
        <f t="shared" si="3"/>
        <v>0</v>
      </c>
      <c r="K17" s="111"/>
      <c r="L17" s="210">
        <f t="shared" si="4"/>
        <v>0</v>
      </c>
      <c r="M17" s="212">
        <f t="shared" si="5"/>
        <v>0</v>
      </c>
      <c r="N17" s="111"/>
      <c r="O17" s="210">
        <f t="shared" si="6"/>
        <v>0</v>
      </c>
      <c r="P17" s="212">
        <f t="shared" si="7"/>
        <v>0</v>
      </c>
      <c r="Q17" s="86"/>
      <c r="R17" s="214">
        <f t="shared" si="8"/>
        <v>0</v>
      </c>
      <c r="S17" s="169">
        <f t="shared" si="9"/>
        <v>0</v>
      </c>
      <c r="T17" s="100">
        <f t="shared" si="10"/>
        <v>0</v>
      </c>
      <c r="U17" s="101">
        <f t="shared" si="11"/>
      </c>
      <c r="V17" s="104">
        <f t="shared" si="12"/>
      </c>
      <c r="W17" s="87">
        <f t="shared" si="13"/>
      </c>
      <c r="AC17" s="113"/>
      <c r="AE17" s="165">
        <f t="shared" si="14"/>
        <v>0</v>
      </c>
    </row>
    <row r="18" spans="1:31" s="85" customFormat="1" ht="12.75">
      <c r="A18" s="90"/>
      <c r="B18" s="109"/>
      <c r="C18" s="78"/>
      <c r="D18" s="89"/>
      <c r="E18" s="110"/>
      <c r="F18" s="206">
        <f t="shared" si="0"/>
        <v>0</v>
      </c>
      <c r="G18" s="169">
        <f t="shared" si="1"/>
        <v>0</v>
      </c>
      <c r="H18" s="111"/>
      <c r="I18" s="210">
        <f t="shared" si="2"/>
        <v>0</v>
      </c>
      <c r="J18" s="212">
        <f t="shared" si="3"/>
        <v>0</v>
      </c>
      <c r="K18" s="111"/>
      <c r="L18" s="210">
        <f t="shared" si="4"/>
        <v>0</v>
      </c>
      <c r="M18" s="212">
        <f t="shared" si="5"/>
        <v>0</v>
      </c>
      <c r="N18" s="111"/>
      <c r="O18" s="210">
        <f t="shared" si="6"/>
        <v>0</v>
      </c>
      <c r="P18" s="212">
        <f t="shared" si="7"/>
        <v>0</v>
      </c>
      <c r="Q18" s="86"/>
      <c r="R18" s="214">
        <f t="shared" si="8"/>
        <v>0</v>
      </c>
      <c r="S18" s="169">
        <f t="shared" si="9"/>
        <v>0</v>
      </c>
      <c r="T18" s="100">
        <f t="shared" si="10"/>
        <v>0</v>
      </c>
      <c r="U18" s="101">
        <f t="shared" si="11"/>
      </c>
      <c r="V18" s="104">
        <f t="shared" si="12"/>
      </c>
      <c r="W18" s="87">
        <f t="shared" si="13"/>
      </c>
      <c r="AC18" s="113"/>
      <c r="AE18" s="165">
        <f t="shared" si="14"/>
        <v>0</v>
      </c>
    </row>
    <row r="19" spans="1:31" s="85" customFormat="1" ht="12.75">
      <c r="A19" s="90"/>
      <c r="B19" s="109"/>
      <c r="C19" s="78"/>
      <c r="D19" s="89"/>
      <c r="E19" s="110"/>
      <c r="F19" s="206">
        <f t="shared" si="0"/>
        <v>0</v>
      </c>
      <c r="G19" s="169">
        <f t="shared" si="1"/>
        <v>0</v>
      </c>
      <c r="H19" s="111"/>
      <c r="I19" s="210">
        <f t="shared" si="2"/>
        <v>0</v>
      </c>
      <c r="J19" s="212">
        <f t="shared" si="3"/>
        <v>0</v>
      </c>
      <c r="K19" s="111"/>
      <c r="L19" s="210">
        <f t="shared" si="4"/>
        <v>0</v>
      </c>
      <c r="M19" s="212">
        <f t="shared" si="5"/>
        <v>0</v>
      </c>
      <c r="N19" s="111"/>
      <c r="O19" s="210">
        <f t="shared" si="6"/>
        <v>0</v>
      </c>
      <c r="P19" s="212">
        <f t="shared" si="7"/>
        <v>0</v>
      </c>
      <c r="Q19" s="86"/>
      <c r="R19" s="214">
        <f t="shared" si="8"/>
        <v>0</v>
      </c>
      <c r="S19" s="169">
        <f t="shared" si="9"/>
        <v>0</v>
      </c>
      <c r="T19" s="100">
        <f t="shared" si="10"/>
        <v>0</v>
      </c>
      <c r="U19" s="101">
        <f t="shared" si="11"/>
      </c>
      <c r="V19" s="104">
        <f t="shared" si="12"/>
      </c>
      <c r="W19" s="87">
        <f t="shared" si="13"/>
      </c>
      <c r="AE19" s="165">
        <f t="shared" si="14"/>
        <v>0</v>
      </c>
    </row>
    <row r="20" spans="1:31" s="85" customFormat="1" ht="12.75">
      <c r="A20" s="90"/>
      <c r="B20" s="109"/>
      <c r="C20" s="78"/>
      <c r="D20" s="89"/>
      <c r="E20" s="110"/>
      <c r="F20" s="206">
        <f t="shared" si="0"/>
        <v>0</v>
      </c>
      <c r="G20" s="169">
        <f t="shared" si="1"/>
        <v>0</v>
      </c>
      <c r="H20" s="111"/>
      <c r="I20" s="210">
        <f t="shared" si="2"/>
        <v>0</v>
      </c>
      <c r="J20" s="212">
        <f t="shared" si="3"/>
        <v>0</v>
      </c>
      <c r="K20" s="111"/>
      <c r="L20" s="210">
        <f t="shared" si="4"/>
        <v>0</v>
      </c>
      <c r="M20" s="212">
        <f t="shared" si="5"/>
        <v>0</v>
      </c>
      <c r="N20" s="111"/>
      <c r="O20" s="210">
        <f t="shared" si="6"/>
        <v>0</v>
      </c>
      <c r="P20" s="212">
        <f t="shared" si="7"/>
        <v>0</v>
      </c>
      <c r="Q20" s="86"/>
      <c r="R20" s="214">
        <f t="shared" si="8"/>
        <v>0</v>
      </c>
      <c r="S20" s="169">
        <f t="shared" si="9"/>
        <v>0</v>
      </c>
      <c r="T20" s="100">
        <f t="shared" si="10"/>
        <v>0</v>
      </c>
      <c r="U20" s="101">
        <f t="shared" si="11"/>
      </c>
      <c r="V20" s="104">
        <f t="shared" si="12"/>
      </c>
      <c r="W20" s="87">
        <f t="shared" si="13"/>
      </c>
      <c r="AE20" s="165">
        <f t="shared" si="14"/>
        <v>0</v>
      </c>
    </row>
    <row r="21" spans="1:31" s="85" customFormat="1" ht="12.75">
      <c r="A21" s="112"/>
      <c r="B21" s="109"/>
      <c r="C21" s="78"/>
      <c r="D21" s="89"/>
      <c r="E21" s="110"/>
      <c r="F21" s="206">
        <f t="shared" si="0"/>
        <v>0</v>
      </c>
      <c r="G21" s="169">
        <f t="shared" si="1"/>
        <v>0</v>
      </c>
      <c r="H21" s="111"/>
      <c r="I21" s="210">
        <f t="shared" si="2"/>
        <v>0</v>
      </c>
      <c r="J21" s="212">
        <f t="shared" si="3"/>
        <v>0</v>
      </c>
      <c r="K21" s="111"/>
      <c r="L21" s="210">
        <f t="shared" si="4"/>
        <v>0</v>
      </c>
      <c r="M21" s="212">
        <f t="shared" si="5"/>
        <v>0</v>
      </c>
      <c r="N21" s="111"/>
      <c r="O21" s="210">
        <f t="shared" si="6"/>
        <v>0</v>
      </c>
      <c r="P21" s="212">
        <f t="shared" si="7"/>
        <v>0</v>
      </c>
      <c r="Q21" s="86"/>
      <c r="R21" s="214">
        <f t="shared" si="8"/>
        <v>0</v>
      </c>
      <c r="S21" s="169">
        <f t="shared" si="9"/>
        <v>0</v>
      </c>
      <c r="T21" s="100">
        <f t="shared" si="10"/>
        <v>0</v>
      </c>
      <c r="U21" s="101">
        <f t="shared" si="11"/>
      </c>
      <c r="V21" s="104">
        <f t="shared" si="12"/>
      </c>
      <c r="W21" s="87">
        <f t="shared" si="13"/>
      </c>
      <c r="AE21" s="165">
        <f t="shared" si="14"/>
        <v>0</v>
      </c>
    </row>
    <row r="22" spans="1:31" s="85" customFormat="1" ht="12.75">
      <c r="A22" s="77"/>
      <c r="B22" s="78"/>
      <c r="C22" s="78"/>
      <c r="D22" s="89"/>
      <c r="E22" s="80"/>
      <c r="F22" s="206">
        <f t="shared" si="0"/>
        <v>0</v>
      </c>
      <c r="G22" s="169">
        <f t="shared" si="1"/>
        <v>0</v>
      </c>
      <c r="H22" s="111"/>
      <c r="I22" s="210">
        <f t="shared" si="2"/>
        <v>0</v>
      </c>
      <c r="J22" s="212">
        <f t="shared" si="3"/>
        <v>0</v>
      </c>
      <c r="K22" s="111"/>
      <c r="L22" s="210">
        <f t="shared" si="4"/>
        <v>0</v>
      </c>
      <c r="M22" s="212">
        <f t="shared" si="5"/>
        <v>0</v>
      </c>
      <c r="N22" s="111"/>
      <c r="O22" s="210">
        <f t="shared" si="6"/>
        <v>0</v>
      </c>
      <c r="P22" s="212">
        <f t="shared" si="7"/>
        <v>0</v>
      </c>
      <c r="Q22" s="86"/>
      <c r="R22" s="214">
        <f t="shared" si="8"/>
        <v>0</v>
      </c>
      <c r="S22" s="169">
        <f t="shared" si="9"/>
        <v>0</v>
      </c>
      <c r="T22" s="100">
        <f t="shared" si="10"/>
        <v>0</v>
      </c>
      <c r="U22" s="101">
        <f t="shared" si="11"/>
      </c>
      <c r="V22" s="104">
        <f t="shared" si="12"/>
      </c>
      <c r="W22" s="87">
        <f t="shared" si="13"/>
      </c>
      <c r="AE22" s="165">
        <f t="shared" si="14"/>
        <v>0</v>
      </c>
    </row>
    <row r="23" spans="1:31" s="85" customFormat="1" ht="12.75">
      <c r="A23" s="77"/>
      <c r="B23" s="78"/>
      <c r="C23" s="78"/>
      <c r="D23" s="89"/>
      <c r="E23" s="80"/>
      <c r="F23" s="206">
        <f t="shared" si="0"/>
        <v>0</v>
      </c>
      <c r="G23" s="169">
        <f t="shared" si="1"/>
        <v>0</v>
      </c>
      <c r="H23" s="111"/>
      <c r="I23" s="210">
        <f t="shared" si="2"/>
        <v>0</v>
      </c>
      <c r="J23" s="212">
        <f t="shared" si="3"/>
        <v>0</v>
      </c>
      <c r="K23" s="111"/>
      <c r="L23" s="210">
        <f t="shared" si="4"/>
        <v>0</v>
      </c>
      <c r="M23" s="212">
        <f t="shared" si="5"/>
        <v>0</v>
      </c>
      <c r="N23" s="111"/>
      <c r="O23" s="210">
        <f t="shared" si="6"/>
        <v>0</v>
      </c>
      <c r="P23" s="212">
        <f t="shared" si="7"/>
        <v>0</v>
      </c>
      <c r="Q23" s="86"/>
      <c r="R23" s="214">
        <f t="shared" si="8"/>
        <v>0</v>
      </c>
      <c r="S23" s="169">
        <f t="shared" si="9"/>
        <v>0</v>
      </c>
      <c r="T23" s="100">
        <f t="shared" si="10"/>
        <v>0</v>
      </c>
      <c r="U23" s="101">
        <f t="shared" si="11"/>
      </c>
      <c r="V23" s="104">
        <f t="shared" si="12"/>
      </c>
      <c r="W23" s="87">
        <f t="shared" si="13"/>
      </c>
      <c r="AE23" s="165">
        <f t="shared" si="14"/>
        <v>0</v>
      </c>
    </row>
    <row r="24" spans="1:31" s="85" customFormat="1" ht="12.75">
      <c r="A24" s="77"/>
      <c r="B24" s="78"/>
      <c r="C24" s="78"/>
      <c r="D24" s="89"/>
      <c r="E24" s="80"/>
      <c r="F24" s="206">
        <f t="shared" si="0"/>
        <v>0</v>
      </c>
      <c r="G24" s="169">
        <f t="shared" si="1"/>
        <v>0</v>
      </c>
      <c r="H24" s="111"/>
      <c r="I24" s="210">
        <f t="shared" si="2"/>
        <v>0</v>
      </c>
      <c r="J24" s="212">
        <f t="shared" si="3"/>
        <v>0</v>
      </c>
      <c r="K24" s="111"/>
      <c r="L24" s="210">
        <f t="shared" si="4"/>
        <v>0</v>
      </c>
      <c r="M24" s="212">
        <f t="shared" si="5"/>
        <v>0</v>
      </c>
      <c r="N24" s="111"/>
      <c r="O24" s="210">
        <f t="shared" si="6"/>
        <v>0</v>
      </c>
      <c r="P24" s="212">
        <f t="shared" si="7"/>
        <v>0</v>
      </c>
      <c r="Q24" s="86"/>
      <c r="R24" s="214">
        <f t="shared" si="8"/>
        <v>0</v>
      </c>
      <c r="S24" s="169">
        <f t="shared" si="9"/>
        <v>0</v>
      </c>
      <c r="T24" s="100">
        <f>SUM(F24,I24,L24,O24,,R24)</f>
        <v>0</v>
      </c>
      <c r="U24" s="101">
        <f t="shared" si="11"/>
      </c>
      <c r="V24" s="104">
        <f t="shared" si="12"/>
      </c>
      <c r="W24" s="87">
        <f>IF(T24&lt;15,"",HLOOKUP(T24,T_U13B_3_Events,5))</f>
      </c>
      <c r="AE24" s="165">
        <f>IF(D24="C",T24,0)</f>
        <v>0</v>
      </c>
    </row>
    <row r="25" spans="1:31" s="85" customFormat="1" ht="12.75">
      <c r="A25" s="77"/>
      <c r="B25" s="78"/>
      <c r="C25" s="78"/>
      <c r="D25" s="89"/>
      <c r="E25" s="80"/>
      <c r="F25" s="206">
        <f t="shared" si="0"/>
        <v>0</v>
      </c>
      <c r="G25" s="169">
        <f t="shared" si="1"/>
        <v>0</v>
      </c>
      <c r="H25" s="119"/>
      <c r="I25" s="210">
        <f t="shared" si="2"/>
        <v>0</v>
      </c>
      <c r="J25" s="212">
        <f t="shared" si="3"/>
        <v>0</v>
      </c>
      <c r="K25" s="119"/>
      <c r="L25" s="210">
        <f t="shared" si="4"/>
        <v>0</v>
      </c>
      <c r="M25" s="212">
        <f t="shared" si="5"/>
        <v>0</v>
      </c>
      <c r="N25" s="119"/>
      <c r="O25" s="210">
        <f t="shared" si="6"/>
        <v>0</v>
      </c>
      <c r="P25" s="212">
        <f t="shared" si="7"/>
        <v>0</v>
      </c>
      <c r="Q25" s="86"/>
      <c r="R25" s="214">
        <f t="shared" si="8"/>
        <v>0</v>
      </c>
      <c r="S25" s="169">
        <f t="shared" si="9"/>
        <v>0</v>
      </c>
      <c r="T25" s="100">
        <f>SUM(F25,I25,L25,O25,,R25)</f>
        <v>0</v>
      </c>
      <c r="U25" s="101">
        <f t="shared" si="11"/>
      </c>
      <c r="V25" s="104">
        <f t="shared" si="12"/>
      </c>
      <c r="W25" s="87">
        <f>IF(T25&lt;15,"",HLOOKUP(T25,T_U13B_3_Events,5))</f>
      </c>
      <c r="AE25" s="165">
        <f>IF(D25="C",T25,0)</f>
        <v>0</v>
      </c>
    </row>
    <row r="26" spans="1:31" s="85" customFormat="1" ht="12.75">
      <c r="A26" s="77"/>
      <c r="B26" s="78"/>
      <c r="C26" s="78"/>
      <c r="D26" s="89"/>
      <c r="E26" s="80"/>
      <c r="F26" s="206">
        <f t="shared" si="0"/>
        <v>0</v>
      </c>
      <c r="G26" s="169">
        <f t="shared" si="1"/>
        <v>0</v>
      </c>
      <c r="H26" s="119"/>
      <c r="I26" s="210">
        <f t="shared" si="2"/>
        <v>0</v>
      </c>
      <c r="J26" s="212">
        <f t="shared" si="3"/>
        <v>0</v>
      </c>
      <c r="K26" s="119"/>
      <c r="L26" s="210">
        <f t="shared" si="4"/>
        <v>0</v>
      </c>
      <c r="M26" s="212">
        <f t="shared" si="5"/>
        <v>0</v>
      </c>
      <c r="N26" s="119"/>
      <c r="O26" s="210">
        <f t="shared" si="6"/>
        <v>0</v>
      </c>
      <c r="P26" s="212">
        <f t="shared" si="7"/>
        <v>0</v>
      </c>
      <c r="Q26" s="86"/>
      <c r="R26" s="214">
        <f t="shared" si="8"/>
        <v>0</v>
      </c>
      <c r="S26" s="169">
        <f t="shared" si="9"/>
        <v>0</v>
      </c>
      <c r="T26" s="100">
        <f t="shared" si="10"/>
        <v>0</v>
      </c>
      <c r="U26" s="101">
        <f t="shared" si="11"/>
      </c>
      <c r="V26" s="104">
        <f t="shared" si="12"/>
      </c>
      <c r="W26" s="87">
        <f t="shared" si="13"/>
      </c>
      <c r="AE26" s="165">
        <f t="shared" si="14"/>
        <v>0</v>
      </c>
    </row>
    <row r="27" spans="1:31" s="85" customFormat="1" ht="12.75">
      <c r="A27" s="77"/>
      <c r="B27" s="78"/>
      <c r="C27" s="78"/>
      <c r="D27" s="89"/>
      <c r="E27" s="80"/>
      <c r="F27" s="206">
        <f t="shared" si="0"/>
        <v>0</v>
      </c>
      <c r="G27" s="169">
        <f t="shared" si="1"/>
        <v>0</v>
      </c>
      <c r="H27" s="119"/>
      <c r="I27" s="210">
        <f t="shared" si="2"/>
        <v>0</v>
      </c>
      <c r="J27" s="212">
        <f t="shared" si="3"/>
        <v>0</v>
      </c>
      <c r="K27" s="119"/>
      <c r="L27" s="210">
        <f t="shared" si="4"/>
        <v>0</v>
      </c>
      <c r="M27" s="212">
        <f t="shared" si="5"/>
        <v>0</v>
      </c>
      <c r="N27" s="119"/>
      <c r="O27" s="210">
        <f t="shared" si="6"/>
        <v>0</v>
      </c>
      <c r="P27" s="212">
        <f t="shared" si="7"/>
        <v>0</v>
      </c>
      <c r="Q27" s="86"/>
      <c r="R27" s="214">
        <f t="shared" si="8"/>
        <v>0</v>
      </c>
      <c r="S27" s="169">
        <f t="shared" si="9"/>
        <v>0</v>
      </c>
      <c r="T27" s="100">
        <f t="shared" si="10"/>
        <v>0</v>
      </c>
      <c r="U27" s="101">
        <f t="shared" si="11"/>
      </c>
      <c r="V27" s="104">
        <f t="shared" si="12"/>
      </c>
      <c r="W27" s="87">
        <f t="shared" si="13"/>
      </c>
      <c r="AE27" s="165">
        <f t="shared" si="14"/>
        <v>0</v>
      </c>
    </row>
    <row r="28" spans="1:31" s="85" customFormat="1" ht="12.75">
      <c r="A28" s="77"/>
      <c r="B28" s="78"/>
      <c r="C28" s="78"/>
      <c r="D28" s="89"/>
      <c r="E28" s="80"/>
      <c r="F28" s="206">
        <f t="shared" si="0"/>
        <v>0</v>
      </c>
      <c r="G28" s="169">
        <f t="shared" si="1"/>
        <v>0</v>
      </c>
      <c r="H28" s="119"/>
      <c r="I28" s="210">
        <f t="shared" si="2"/>
        <v>0</v>
      </c>
      <c r="J28" s="212">
        <f t="shared" si="3"/>
        <v>0</v>
      </c>
      <c r="K28" s="119"/>
      <c r="L28" s="210">
        <f t="shared" si="4"/>
        <v>0</v>
      </c>
      <c r="M28" s="212">
        <f t="shared" si="5"/>
        <v>0</v>
      </c>
      <c r="N28" s="119"/>
      <c r="O28" s="210">
        <f t="shared" si="6"/>
        <v>0</v>
      </c>
      <c r="P28" s="212">
        <f t="shared" si="7"/>
        <v>0</v>
      </c>
      <c r="Q28" s="86"/>
      <c r="R28" s="214">
        <f t="shared" si="8"/>
        <v>0</v>
      </c>
      <c r="S28" s="169">
        <f t="shared" si="9"/>
        <v>0</v>
      </c>
      <c r="T28" s="100">
        <f t="shared" si="10"/>
        <v>0</v>
      </c>
      <c r="U28" s="101">
        <f t="shared" si="11"/>
      </c>
      <c r="V28" s="104">
        <f t="shared" si="12"/>
      </c>
      <c r="W28" s="87">
        <f t="shared" si="13"/>
      </c>
      <c r="AE28" s="165">
        <f t="shared" si="14"/>
        <v>0</v>
      </c>
    </row>
    <row r="29" spans="1:31" s="85" customFormat="1" ht="12.75">
      <c r="A29" s="77"/>
      <c r="B29" s="78"/>
      <c r="C29" s="78"/>
      <c r="D29" s="89"/>
      <c r="E29" s="80"/>
      <c r="F29" s="206">
        <f t="shared" si="0"/>
        <v>0</v>
      </c>
      <c r="G29" s="169">
        <f t="shared" si="1"/>
        <v>0</v>
      </c>
      <c r="H29" s="119"/>
      <c r="I29" s="210">
        <f t="shared" si="2"/>
        <v>0</v>
      </c>
      <c r="J29" s="212">
        <f t="shared" si="3"/>
        <v>0</v>
      </c>
      <c r="K29" s="119"/>
      <c r="L29" s="210">
        <f t="shared" si="4"/>
        <v>0</v>
      </c>
      <c r="M29" s="212">
        <f t="shared" si="5"/>
        <v>0</v>
      </c>
      <c r="N29" s="119"/>
      <c r="O29" s="210">
        <f t="shared" si="6"/>
        <v>0</v>
      </c>
      <c r="P29" s="212">
        <f t="shared" si="7"/>
        <v>0</v>
      </c>
      <c r="Q29" s="86"/>
      <c r="R29" s="214">
        <f t="shared" si="8"/>
        <v>0</v>
      </c>
      <c r="S29" s="169">
        <f t="shared" si="9"/>
        <v>0</v>
      </c>
      <c r="T29" s="100">
        <f>SUM(F29,I29,L29,O29,,R29)</f>
        <v>0</v>
      </c>
      <c r="U29" s="101">
        <f t="shared" si="11"/>
      </c>
      <c r="V29" s="104">
        <f t="shared" si="12"/>
      </c>
      <c r="W29" s="87">
        <f>IF(T29&lt;15,"",HLOOKUP(T29,T_U13B_3_Events,5))</f>
      </c>
      <c r="AE29" s="165">
        <f>IF(D29="C",T29,0)</f>
        <v>0</v>
      </c>
    </row>
    <row r="30" spans="1:31" s="85" customFormat="1" ht="12.75">
      <c r="A30" s="77"/>
      <c r="B30" s="78"/>
      <c r="C30" s="78"/>
      <c r="D30" s="89"/>
      <c r="E30" s="80"/>
      <c r="F30" s="206">
        <f t="shared" si="0"/>
        <v>0</v>
      </c>
      <c r="G30" s="169">
        <f t="shared" si="1"/>
        <v>0</v>
      </c>
      <c r="H30" s="119"/>
      <c r="I30" s="210">
        <f t="shared" si="2"/>
        <v>0</v>
      </c>
      <c r="J30" s="212">
        <f t="shared" si="3"/>
        <v>0</v>
      </c>
      <c r="K30" s="119"/>
      <c r="L30" s="210">
        <f t="shared" si="4"/>
        <v>0</v>
      </c>
      <c r="M30" s="212">
        <f t="shared" si="5"/>
        <v>0</v>
      </c>
      <c r="N30" s="119"/>
      <c r="O30" s="210">
        <f t="shared" si="6"/>
        <v>0</v>
      </c>
      <c r="P30" s="212">
        <f t="shared" si="7"/>
        <v>0</v>
      </c>
      <c r="Q30" s="86"/>
      <c r="R30" s="214">
        <f t="shared" si="8"/>
        <v>0</v>
      </c>
      <c r="S30" s="169">
        <f t="shared" si="9"/>
        <v>0</v>
      </c>
      <c r="T30" s="100">
        <f t="shared" si="10"/>
        <v>0</v>
      </c>
      <c r="U30" s="101">
        <f t="shared" si="11"/>
      </c>
      <c r="V30" s="104">
        <f t="shared" si="12"/>
      </c>
      <c r="W30" s="87">
        <f t="shared" si="13"/>
      </c>
      <c r="AE30" s="165">
        <f t="shared" si="14"/>
        <v>0</v>
      </c>
    </row>
    <row r="31" spans="1:31" ht="12.75">
      <c r="A31" s="90"/>
      <c r="B31" s="91"/>
      <c r="C31" s="78"/>
      <c r="D31" s="89"/>
      <c r="E31" s="80"/>
      <c r="F31" s="206">
        <f t="shared" si="0"/>
        <v>0</v>
      </c>
      <c r="G31" s="169">
        <f t="shared" si="1"/>
        <v>0</v>
      </c>
      <c r="H31" s="119"/>
      <c r="I31" s="210">
        <f t="shared" si="2"/>
        <v>0</v>
      </c>
      <c r="J31" s="212">
        <f t="shared" si="3"/>
        <v>0</v>
      </c>
      <c r="K31" s="119"/>
      <c r="L31" s="210">
        <f t="shared" si="4"/>
        <v>0</v>
      </c>
      <c r="M31" s="212">
        <f t="shared" si="5"/>
        <v>0</v>
      </c>
      <c r="N31" s="119"/>
      <c r="O31" s="210">
        <f t="shared" si="6"/>
        <v>0</v>
      </c>
      <c r="P31" s="212">
        <f t="shared" si="7"/>
        <v>0</v>
      </c>
      <c r="Q31" s="86"/>
      <c r="R31" s="214">
        <f t="shared" si="8"/>
        <v>0</v>
      </c>
      <c r="S31" s="169">
        <f t="shared" si="9"/>
        <v>0</v>
      </c>
      <c r="T31" s="100">
        <f t="shared" si="10"/>
        <v>0</v>
      </c>
      <c r="U31" s="101">
        <f t="shared" si="11"/>
      </c>
      <c r="V31" s="104">
        <f t="shared" si="12"/>
      </c>
      <c r="W31" s="87">
        <f t="shared" si="13"/>
      </c>
      <c r="AE31" s="165">
        <f t="shared" si="14"/>
        <v>0</v>
      </c>
    </row>
    <row r="32" spans="1:31" ht="12.75">
      <c r="A32" s="90"/>
      <c r="B32" s="91"/>
      <c r="C32" s="78"/>
      <c r="D32" s="89"/>
      <c r="E32" s="80"/>
      <c r="F32" s="206">
        <f t="shared" si="0"/>
        <v>0</v>
      </c>
      <c r="G32" s="169">
        <f t="shared" si="1"/>
        <v>0</v>
      </c>
      <c r="H32" s="119"/>
      <c r="I32" s="210">
        <f t="shared" si="2"/>
        <v>0</v>
      </c>
      <c r="J32" s="212">
        <f t="shared" si="3"/>
        <v>0</v>
      </c>
      <c r="K32" s="119"/>
      <c r="L32" s="210">
        <f t="shared" si="4"/>
        <v>0</v>
      </c>
      <c r="M32" s="212">
        <f t="shared" si="5"/>
        <v>0</v>
      </c>
      <c r="N32" s="119"/>
      <c r="O32" s="210">
        <f t="shared" si="6"/>
        <v>0</v>
      </c>
      <c r="P32" s="212">
        <f t="shared" si="7"/>
        <v>0</v>
      </c>
      <c r="Q32" s="86"/>
      <c r="R32" s="214">
        <f t="shared" si="8"/>
        <v>0</v>
      </c>
      <c r="S32" s="169">
        <f t="shared" si="9"/>
        <v>0</v>
      </c>
      <c r="T32" s="100">
        <f t="shared" si="10"/>
        <v>0</v>
      </c>
      <c r="U32" s="101">
        <f t="shared" si="11"/>
      </c>
      <c r="V32" s="104">
        <f t="shared" si="12"/>
      </c>
      <c r="W32" s="87">
        <f t="shared" si="13"/>
      </c>
      <c r="AE32" s="165">
        <f t="shared" si="14"/>
        <v>0</v>
      </c>
    </row>
    <row r="33" spans="1:31" ht="12.75">
      <c r="A33" s="90"/>
      <c r="B33" s="91"/>
      <c r="C33" s="78"/>
      <c r="D33" s="89"/>
      <c r="E33" s="80"/>
      <c r="F33" s="206">
        <f t="shared" si="0"/>
        <v>0</v>
      </c>
      <c r="G33" s="169">
        <f t="shared" si="1"/>
        <v>0</v>
      </c>
      <c r="H33" s="119"/>
      <c r="I33" s="210">
        <f t="shared" si="2"/>
        <v>0</v>
      </c>
      <c r="J33" s="212">
        <f t="shared" si="3"/>
        <v>0</v>
      </c>
      <c r="K33" s="119"/>
      <c r="L33" s="210">
        <f t="shared" si="4"/>
        <v>0</v>
      </c>
      <c r="M33" s="212">
        <f t="shared" si="5"/>
        <v>0</v>
      </c>
      <c r="N33" s="119"/>
      <c r="O33" s="210">
        <f t="shared" si="6"/>
        <v>0</v>
      </c>
      <c r="P33" s="212">
        <f t="shared" si="7"/>
        <v>0</v>
      </c>
      <c r="Q33" s="86"/>
      <c r="R33" s="214">
        <f t="shared" si="8"/>
        <v>0</v>
      </c>
      <c r="S33" s="169">
        <f t="shared" si="9"/>
        <v>0</v>
      </c>
      <c r="T33" s="100">
        <f t="shared" si="10"/>
        <v>0</v>
      </c>
      <c r="U33" s="101">
        <f t="shared" si="11"/>
      </c>
      <c r="V33" s="104">
        <f t="shared" si="12"/>
      </c>
      <c r="W33" s="87">
        <f t="shared" si="13"/>
      </c>
      <c r="AE33" s="165">
        <f t="shared" si="14"/>
        <v>0</v>
      </c>
    </row>
    <row r="34" spans="1:31" ht="12.75">
      <c r="A34" s="90"/>
      <c r="B34" s="91"/>
      <c r="C34" s="78"/>
      <c r="D34" s="89"/>
      <c r="E34" s="80"/>
      <c r="F34" s="206">
        <f t="shared" si="0"/>
        <v>0</v>
      </c>
      <c r="G34" s="169">
        <f t="shared" si="1"/>
        <v>0</v>
      </c>
      <c r="H34" s="119"/>
      <c r="I34" s="210">
        <f t="shared" si="2"/>
        <v>0</v>
      </c>
      <c r="J34" s="212">
        <f t="shared" si="3"/>
        <v>0</v>
      </c>
      <c r="K34" s="119"/>
      <c r="L34" s="210">
        <f t="shared" si="4"/>
        <v>0</v>
      </c>
      <c r="M34" s="212">
        <f t="shared" si="5"/>
        <v>0</v>
      </c>
      <c r="N34" s="119"/>
      <c r="O34" s="210">
        <f t="shared" si="6"/>
        <v>0</v>
      </c>
      <c r="P34" s="212">
        <f t="shared" si="7"/>
        <v>0</v>
      </c>
      <c r="Q34" s="86"/>
      <c r="R34" s="214">
        <f t="shared" si="8"/>
        <v>0</v>
      </c>
      <c r="S34" s="169">
        <f t="shared" si="9"/>
        <v>0</v>
      </c>
      <c r="T34" s="100">
        <f t="shared" si="10"/>
        <v>0</v>
      </c>
      <c r="U34" s="101">
        <f t="shared" si="11"/>
      </c>
      <c r="V34" s="104">
        <f t="shared" si="12"/>
      </c>
      <c r="W34" s="87">
        <f t="shared" si="13"/>
      </c>
      <c r="AE34" s="165">
        <f t="shared" si="14"/>
        <v>0</v>
      </c>
    </row>
    <row r="35" spans="1:31" ht="12.75">
      <c r="A35" s="90"/>
      <c r="B35" s="91"/>
      <c r="C35" s="78"/>
      <c r="D35" s="89"/>
      <c r="E35" s="93"/>
      <c r="F35" s="206">
        <f t="shared" si="0"/>
        <v>0</v>
      </c>
      <c r="G35" s="169">
        <f t="shared" si="1"/>
        <v>0</v>
      </c>
      <c r="H35" s="119"/>
      <c r="I35" s="210">
        <f t="shared" si="2"/>
        <v>0</v>
      </c>
      <c r="J35" s="212">
        <f t="shared" si="3"/>
        <v>0</v>
      </c>
      <c r="K35" s="119"/>
      <c r="L35" s="210">
        <f t="shared" si="4"/>
        <v>0</v>
      </c>
      <c r="M35" s="212">
        <f t="shared" si="5"/>
        <v>0</v>
      </c>
      <c r="N35" s="119"/>
      <c r="O35" s="210">
        <f t="shared" si="6"/>
        <v>0</v>
      </c>
      <c r="P35" s="212">
        <f t="shared" si="7"/>
        <v>0</v>
      </c>
      <c r="Q35" s="86"/>
      <c r="R35" s="214">
        <f t="shared" si="8"/>
        <v>0</v>
      </c>
      <c r="S35" s="169">
        <f t="shared" si="9"/>
        <v>0</v>
      </c>
      <c r="T35" s="100">
        <f>SUM(F35,I35,L35,O35,,R35)</f>
        <v>0</v>
      </c>
      <c r="U35" s="101">
        <f t="shared" si="11"/>
      </c>
      <c r="V35" s="104">
        <f t="shared" si="12"/>
      </c>
      <c r="W35" s="95">
        <f>IF(T35&lt;15,"",HLOOKUP(T35,T_U13B_3_Events,5))</f>
      </c>
      <c r="AE35" s="165">
        <f>IF(D35="C",T35,0)</f>
        <v>0</v>
      </c>
    </row>
    <row r="36" spans="1:22" ht="12.75">
      <c r="A36" s="96"/>
      <c r="B36" s="96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ht="12.75">
      <c r="V37" s="172"/>
    </row>
    <row r="38" ht="12.75">
      <c r="V38" s="172"/>
    </row>
  </sheetData>
  <sheetProtection sheet="1" objects="1" scenarios="1"/>
  <mergeCells count="2">
    <mergeCell ref="A1:W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orientation="landscape" paperSize="9" scale="88" r:id="rId1"/>
  <headerFooter alignWithMargins="0">
    <oddFooter>&amp;L&amp;8Point for Shot, Long Jump, High Jump &amp; 800m in accordance with IAAF Manual Scoring Tables 2004
Points for 80m Hurdles in accordance with ESAA Manual Scoring Tables 2007
AAA Grade Tables 2007/2008&amp;R&amp;8NT = No Throw
NJ = No Jump
DNF = Did Not Finish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AK160"/>
  <sheetViews>
    <sheetView zoomScalePageLayoutView="0" workbookViewId="0" topLeftCell="A1">
      <selection activeCell="O132" sqref="O132:Q134"/>
    </sheetView>
  </sheetViews>
  <sheetFormatPr defaultColWidth="9.140625" defaultRowHeight="12.75"/>
  <cols>
    <col min="1" max="1" width="9.140625" style="5" customWidth="1"/>
    <col min="2" max="2" width="11.28125" style="4" customWidth="1"/>
    <col min="6" max="8" width="9.140625" style="5" customWidth="1"/>
    <col min="12" max="12" width="9.57421875" style="0" bestFit="1" customWidth="1"/>
    <col min="14" max="17" width="9.140625" style="5" customWidth="1"/>
    <col min="19" max="19" width="9.140625" style="12" customWidth="1"/>
    <col min="24" max="24" width="9.140625" style="12" customWidth="1"/>
    <col min="29" max="29" width="9.140625" style="5" customWidth="1"/>
    <col min="34" max="34" width="11.7109375" style="4" customWidth="1"/>
    <col min="35" max="35" width="7.00390625" style="167" bestFit="1" customWidth="1"/>
    <col min="36" max="36" width="12.57421875" style="4" customWidth="1"/>
    <col min="37" max="37" width="7.00390625" style="167" bestFit="1" customWidth="1"/>
  </cols>
  <sheetData>
    <row r="1" spans="2:36" ht="25.5">
      <c r="B1" s="245" t="s">
        <v>33</v>
      </c>
      <c r="C1" s="245"/>
      <c r="D1" s="245"/>
      <c r="E1" s="245"/>
      <c r="F1" s="241" t="s">
        <v>34</v>
      </c>
      <c r="G1" s="241"/>
      <c r="H1" s="241"/>
      <c r="I1" s="246" t="s">
        <v>35</v>
      </c>
      <c r="J1" s="246"/>
      <c r="K1" s="246"/>
      <c r="L1" s="246"/>
      <c r="M1" s="246"/>
      <c r="N1" s="241" t="s">
        <v>36</v>
      </c>
      <c r="O1" s="241"/>
      <c r="AH1" s="170" t="s">
        <v>166</v>
      </c>
      <c r="AI1" s="171"/>
      <c r="AJ1" s="170" t="s">
        <v>167</v>
      </c>
    </row>
    <row r="2" spans="1:37" s="9" customFormat="1" ht="38.25">
      <c r="A2" s="7" t="s">
        <v>11</v>
      </c>
      <c r="B2" s="8" t="s">
        <v>3</v>
      </c>
      <c r="C2" s="9" t="s">
        <v>13</v>
      </c>
      <c r="D2" s="8" t="s">
        <v>14</v>
      </c>
      <c r="E2" s="9" t="s">
        <v>15</v>
      </c>
      <c r="F2" s="7" t="s">
        <v>4</v>
      </c>
      <c r="G2" s="7" t="s">
        <v>16</v>
      </c>
      <c r="H2" s="7" t="s">
        <v>17</v>
      </c>
      <c r="I2" s="9" t="s">
        <v>26</v>
      </c>
      <c r="J2" s="9" t="s">
        <v>27</v>
      </c>
      <c r="K2" s="9" t="s">
        <v>28</v>
      </c>
      <c r="L2" s="8" t="s">
        <v>14</v>
      </c>
      <c r="M2" s="9" t="s">
        <v>15</v>
      </c>
      <c r="N2" s="7" t="s">
        <v>16</v>
      </c>
      <c r="O2" s="7" t="s">
        <v>29</v>
      </c>
      <c r="P2" s="7" t="s">
        <v>11</v>
      </c>
      <c r="Q2" s="7" t="s">
        <v>11</v>
      </c>
      <c r="R2" s="9" t="s">
        <v>18</v>
      </c>
      <c r="S2" s="13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13" t="s">
        <v>24</v>
      </c>
      <c r="Y2" s="9" t="s">
        <v>25</v>
      </c>
      <c r="Z2" s="9" t="s">
        <v>30</v>
      </c>
      <c r="AA2" s="9" t="s">
        <v>31</v>
      </c>
      <c r="AB2" s="9" t="s">
        <v>32</v>
      </c>
      <c r="AC2" s="7" t="s">
        <v>11</v>
      </c>
      <c r="AG2"/>
      <c r="AH2" s="170" t="s">
        <v>169</v>
      </c>
      <c r="AI2" s="167"/>
      <c r="AJ2" s="170" t="s">
        <v>169</v>
      </c>
      <c r="AK2" s="167"/>
    </row>
    <row r="3" spans="1:37" ht="25.5">
      <c r="A3" s="6" t="s">
        <v>12</v>
      </c>
      <c r="B3" s="4">
        <v>0.1</v>
      </c>
      <c r="P3" s="6" t="s">
        <v>12</v>
      </c>
      <c r="Q3" s="6" t="s">
        <v>12</v>
      </c>
      <c r="AC3" s="6" t="s">
        <v>12</v>
      </c>
      <c r="AH3" s="4">
        <v>8.3</v>
      </c>
      <c r="AI3" s="168" t="s">
        <v>164</v>
      </c>
      <c r="AJ3" s="4">
        <v>9</v>
      </c>
      <c r="AK3" s="168" t="s">
        <v>164</v>
      </c>
    </row>
    <row r="4" spans="1:37" ht="12.75">
      <c r="A4" s="5">
        <v>100</v>
      </c>
      <c r="B4" s="4">
        <v>11.3</v>
      </c>
      <c r="F4" s="11">
        <v>0.001388888888888889</v>
      </c>
      <c r="P4" s="5">
        <v>100</v>
      </c>
      <c r="Q4" s="5">
        <v>1</v>
      </c>
      <c r="R4" s="12">
        <v>0.65</v>
      </c>
      <c r="S4" s="12">
        <v>1.9</v>
      </c>
      <c r="AC4" s="5">
        <v>1</v>
      </c>
      <c r="AH4" s="4">
        <v>8.4</v>
      </c>
      <c r="AI4" s="168" t="s">
        <v>165</v>
      </c>
      <c r="AJ4" s="4">
        <v>9.1</v>
      </c>
      <c r="AK4" s="168" t="s">
        <v>165</v>
      </c>
    </row>
    <row r="5" spans="1:37" ht="12.75">
      <c r="A5" s="5">
        <v>99</v>
      </c>
      <c r="B5" s="4">
        <v>11.4</v>
      </c>
      <c r="F5" s="11">
        <v>0.001412037037037037</v>
      </c>
      <c r="P5" s="5">
        <v>99</v>
      </c>
      <c r="Q5" s="5">
        <v>2</v>
      </c>
      <c r="R5" s="12">
        <v>0.66</v>
      </c>
      <c r="S5" s="12">
        <v>1.93</v>
      </c>
      <c r="AC5" s="5">
        <v>2</v>
      </c>
      <c r="AH5" s="4">
        <v>8.5</v>
      </c>
      <c r="AI5" s="168" t="s">
        <v>165</v>
      </c>
      <c r="AJ5" s="4">
        <v>9.2</v>
      </c>
      <c r="AK5" s="168" t="s">
        <v>165</v>
      </c>
    </row>
    <row r="6" spans="1:37" ht="12.75">
      <c r="A6" s="5">
        <v>98</v>
      </c>
      <c r="B6" s="4">
        <v>11.5</v>
      </c>
      <c r="F6" s="11">
        <v>0.00143518518518518</v>
      </c>
      <c r="P6" s="5">
        <v>98</v>
      </c>
      <c r="Q6" s="5">
        <v>3</v>
      </c>
      <c r="R6" s="12">
        <v>0.67</v>
      </c>
      <c r="S6" s="12">
        <v>1.97</v>
      </c>
      <c r="AC6" s="5">
        <v>3</v>
      </c>
      <c r="AH6" s="4">
        <v>8.6</v>
      </c>
      <c r="AI6" s="168" t="s">
        <v>165</v>
      </c>
      <c r="AJ6" s="4">
        <v>9.3</v>
      </c>
      <c r="AK6" s="168" t="s">
        <v>165</v>
      </c>
    </row>
    <row r="7" spans="1:37" ht="12.75">
      <c r="A7" s="5">
        <v>97</v>
      </c>
      <c r="B7" s="4">
        <v>11.6</v>
      </c>
      <c r="F7" s="11">
        <v>0.00145833333333333</v>
      </c>
      <c r="P7" s="5">
        <v>97</v>
      </c>
      <c r="Q7" s="5">
        <v>4</v>
      </c>
      <c r="R7" s="12">
        <v>0.68</v>
      </c>
      <c r="S7" s="12">
        <v>2</v>
      </c>
      <c r="AC7" s="5">
        <v>4</v>
      </c>
      <c r="AH7" s="4">
        <v>8.7</v>
      </c>
      <c r="AI7" s="168" t="s">
        <v>165</v>
      </c>
      <c r="AJ7" s="4">
        <v>9.4</v>
      </c>
      <c r="AK7" s="168" t="s">
        <v>165</v>
      </c>
    </row>
    <row r="8" spans="1:37" ht="12.75">
      <c r="A8" s="5">
        <v>96</v>
      </c>
      <c r="B8" s="4">
        <v>11.7</v>
      </c>
      <c r="F8" s="11">
        <v>0.00148148148148148</v>
      </c>
      <c r="P8" s="5">
        <v>96</v>
      </c>
      <c r="Q8" s="5">
        <v>5</v>
      </c>
      <c r="R8" s="12">
        <v>0.69</v>
      </c>
      <c r="S8" s="12">
        <v>2.03</v>
      </c>
      <c r="AC8" s="5">
        <v>5</v>
      </c>
      <c r="AH8" s="4">
        <v>8.9</v>
      </c>
      <c r="AI8" s="168" t="s">
        <v>165</v>
      </c>
      <c r="AJ8" s="4">
        <v>9.5</v>
      </c>
      <c r="AK8" s="168" t="s">
        <v>165</v>
      </c>
    </row>
    <row r="9" spans="1:37" ht="12.75">
      <c r="A9" s="5">
        <v>95</v>
      </c>
      <c r="B9" s="4">
        <v>11.8</v>
      </c>
      <c r="F9" s="11">
        <v>0.00150462962962963</v>
      </c>
      <c r="P9" s="5">
        <v>95</v>
      </c>
      <c r="Q9" s="5">
        <v>6</v>
      </c>
      <c r="R9" s="12">
        <v>0.7</v>
      </c>
      <c r="S9" s="12">
        <v>2.05</v>
      </c>
      <c r="AC9" s="5">
        <v>6</v>
      </c>
      <c r="AH9" s="4">
        <v>9</v>
      </c>
      <c r="AI9" s="168" t="s">
        <v>165</v>
      </c>
      <c r="AJ9" s="4">
        <v>9.6</v>
      </c>
      <c r="AK9" s="168" t="s">
        <v>165</v>
      </c>
    </row>
    <row r="10" spans="1:37" ht="12.75">
      <c r="A10" s="5">
        <v>94</v>
      </c>
      <c r="B10" s="4">
        <v>11.9</v>
      </c>
      <c r="F10" s="11">
        <v>0.0015162037037037036</v>
      </c>
      <c r="J10" s="12">
        <v>11.4</v>
      </c>
      <c r="P10" s="5">
        <v>94</v>
      </c>
      <c r="Q10" s="5">
        <v>7</v>
      </c>
      <c r="R10" s="12">
        <v>0.71</v>
      </c>
      <c r="S10" s="12">
        <v>2.07</v>
      </c>
      <c r="AC10" s="5">
        <v>7</v>
      </c>
      <c r="AH10" s="4">
        <v>9.1</v>
      </c>
      <c r="AI10" s="167">
        <v>1103</v>
      </c>
      <c r="AJ10" s="4">
        <v>9.7</v>
      </c>
      <c r="AK10" s="167">
        <v>1182</v>
      </c>
    </row>
    <row r="11" spans="1:37" ht="12.75">
      <c r="A11" s="5">
        <v>93</v>
      </c>
      <c r="B11" s="4">
        <v>12</v>
      </c>
      <c r="F11" s="11">
        <v>0.00152777777777778</v>
      </c>
      <c r="J11" s="12">
        <v>11.5</v>
      </c>
      <c r="P11" s="5">
        <v>93</v>
      </c>
      <c r="Q11" s="5">
        <v>8</v>
      </c>
      <c r="R11" s="12">
        <v>0.72</v>
      </c>
      <c r="S11" s="12">
        <v>2.1</v>
      </c>
      <c r="AC11" s="5">
        <v>8</v>
      </c>
      <c r="AH11" s="4">
        <v>9.2</v>
      </c>
      <c r="AI11" s="167">
        <v>1084</v>
      </c>
      <c r="AJ11" s="4">
        <v>9.8</v>
      </c>
      <c r="AK11" s="167">
        <v>1162</v>
      </c>
    </row>
    <row r="12" spans="1:37" ht="12.75">
      <c r="A12" s="5">
        <v>92</v>
      </c>
      <c r="B12" s="4">
        <v>12.1</v>
      </c>
      <c r="F12" s="11">
        <v>0.00153935185185185</v>
      </c>
      <c r="J12" s="12">
        <v>11.6</v>
      </c>
      <c r="P12" s="5">
        <v>92</v>
      </c>
      <c r="Q12" s="5">
        <v>9</v>
      </c>
      <c r="R12" s="12">
        <v>0.73</v>
      </c>
      <c r="S12" s="12">
        <v>2.13</v>
      </c>
      <c r="AC12" s="5">
        <v>9</v>
      </c>
      <c r="AH12" s="4">
        <v>9.3</v>
      </c>
      <c r="AI12" s="167">
        <v>1066</v>
      </c>
      <c r="AJ12" s="4">
        <v>9.9</v>
      </c>
      <c r="AK12" s="167">
        <v>1142</v>
      </c>
    </row>
    <row r="13" spans="1:37" ht="12.75">
      <c r="A13" s="5">
        <v>91</v>
      </c>
      <c r="B13" s="4">
        <v>12.2</v>
      </c>
      <c r="F13" s="11">
        <v>0.00155092592592592</v>
      </c>
      <c r="J13" s="12">
        <v>11.7</v>
      </c>
      <c r="P13" s="5">
        <v>91</v>
      </c>
      <c r="Q13" s="5">
        <v>10</v>
      </c>
      <c r="R13" s="12">
        <v>0.74</v>
      </c>
      <c r="S13" s="12">
        <v>2.16</v>
      </c>
      <c r="AC13" s="5">
        <v>10</v>
      </c>
      <c r="AH13" s="4">
        <v>9.4</v>
      </c>
      <c r="AI13" s="167">
        <v>1048</v>
      </c>
      <c r="AJ13" s="4">
        <v>10</v>
      </c>
      <c r="AK13" s="167">
        <v>1122</v>
      </c>
    </row>
    <row r="14" spans="1:37" ht="12.75">
      <c r="A14" s="5">
        <v>90</v>
      </c>
      <c r="B14" s="4">
        <v>12.3</v>
      </c>
      <c r="F14" s="11">
        <v>0.0015625</v>
      </c>
      <c r="J14" s="12">
        <v>11.8</v>
      </c>
      <c r="P14" s="5">
        <v>90</v>
      </c>
      <c r="Q14" s="5">
        <v>11</v>
      </c>
      <c r="R14" s="12">
        <v>0.75</v>
      </c>
      <c r="S14" s="12">
        <v>2.19</v>
      </c>
      <c r="V14" s="12">
        <v>2</v>
      </c>
      <c r="X14" s="12">
        <v>4</v>
      </c>
      <c r="AC14" s="5">
        <v>11</v>
      </c>
      <c r="AH14" s="4">
        <v>9.5</v>
      </c>
      <c r="AI14" s="167">
        <v>1030</v>
      </c>
      <c r="AJ14" s="4">
        <v>10.1</v>
      </c>
      <c r="AK14" s="167">
        <v>1103</v>
      </c>
    </row>
    <row r="15" spans="1:37" ht="12.75">
      <c r="A15" s="5">
        <v>89</v>
      </c>
      <c r="B15" s="4">
        <v>12.4</v>
      </c>
      <c r="F15" s="11">
        <v>0.00157407407407407</v>
      </c>
      <c r="J15" s="12">
        <v>11.9</v>
      </c>
      <c r="P15" s="5">
        <v>89</v>
      </c>
      <c r="Q15" s="5">
        <v>12</v>
      </c>
      <c r="R15" s="12">
        <v>0.76</v>
      </c>
      <c r="S15" s="12">
        <v>2.22</v>
      </c>
      <c r="V15" s="12">
        <v>2.1</v>
      </c>
      <c r="X15" s="12">
        <v>4.5</v>
      </c>
      <c r="AC15" s="5">
        <v>12</v>
      </c>
      <c r="AH15" s="4">
        <v>9.6</v>
      </c>
      <c r="AI15" s="167">
        <v>1012</v>
      </c>
      <c r="AJ15" s="4">
        <v>10.2</v>
      </c>
      <c r="AK15" s="167">
        <v>1084</v>
      </c>
    </row>
    <row r="16" spans="1:37" ht="12.75">
      <c r="A16" s="5">
        <v>88</v>
      </c>
      <c r="B16" s="4">
        <v>12.5</v>
      </c>
      <c r="F16" s="11">
        <v>0.00158564814814815</v>
      </c>
      <c r="J16" s="12">
        <v>12</v>
      </c>
      <c r="P16" s="5">
        <v>88</v>
      </c>
      <c r="Q16" s="5">
        <v>13</v>
      </c>
      <c r="R16" s="12">
        <v>0.77</v>
      </c>
      <c r="S16" s="12">
        <v>2.25</v>
      </c>
      <c r="V16" s="12">
        <v>2.2</v>
      </c>
      <c r="X16" s="12">
        <v>5</v>
      </c>
      <c r="AC16" s="5">
        <v>13</v>
      </c>
      <c r="AH16" s="4">
        <v>9.7</v>
      </c>
      <c r="AI16" s="167">
        <v>995</v>
      </c>
      <c r="AJ16" s="4">
        <v>10.3</v>
      </c>
      <c r="AK16" s="167">
        <v>1066</v>
      </c>
    </row>
    <row r="17" spans="1:37" ht="12.75">
      <c r="A17" s="5">
        <v>87</v>
      </c>
      <c r="B17" s="4">
        <v>12.6</v>
      </c>
      <c r="F17" s="11">
        <v>0.00159722222222222</v>
      </c>
      <c r="J17" s="12">
        <v>12.1</v>
      </c>
      <c r="P17" s="5">
        <v>87</v>
      </c>
      <c r="Q17" s="5">
        <v>14</v>
      </c>
      <c r="R17" s="12">
        <v>0.78</v>
      </c>
      <c r="S17" s="12">
        <v>2.28</v>
      </c>
      <c r="V17" s="12">
        <v>2.3</v>
      </c>
      <c r="X17" s="12">
        <v>5.5</v>
      </c>
      <c r="AC17" s="5">
        <v>14</v>
      </c>
      <c r="AH17" s="4">
        <v>9.8</v>
      </c>
      <c r="AI17" s="167">
        <v>978</v>
      </c>
      <c r="AJ17" s="4">
        <v>10.4</v>
      </c>
      <c r="AK17" s="167">
        <v>1048</v>
      </c>
    </row>
    <row r="18" spans="1:37" ht="12.75">
      <c r="A18" s="5">
        <v>86</v>
      </c>
      <c r="B18" s="4">
        <v>12.7</v>
      </c>
      <c r="F18" s="11">
        <v>0.00160879629629629</v>
      </c>
      <c r="J18" s="12">
        <v>12.2</v>
      </c>
      <c r="P18" s="5">
        <v>86</v>
      </c>
      <c r="Q18" s="5">
        <v>15</v>
      </c>
      <c r="R18" s="12">
        <v>0.79</v>
      </c>
      <c r="S18" s="12">
        <v>2.31</v>
      </c>
      <c r="V18" s="12">
        <v>2.4</v>
      </c>
      <c r="X18" s="12">
        <v>6</v>
      </c>
      <c r="AC18" s="5">
        <v>15</v>
      </c>
      <c r="AH18" s="4">
        <v>9.9</v>
      </c>
      <c r="AI18" s="167">
        <v>962</v>
      </c>
      <c r="AJ18" s="4">
        <v>10.5</v>
      </c>
      <c r="AK18" s="167">
        <v>1030</v>
      </c>
    </row>
    <row r="19" spans="1:37" ht="12.75">
      <c r="A19" s="5">
        <v>85</v>
      </c>
      <c r="B19" s="4">
        <v>12.8</v>
      </c>
      <c r="F19" s="11">
        <v>0.00162037037037037</v>
      </c>
      <c r="J19" s="12">
        <v>12.3</v>
      </c>
      <c r="P19" s="5">
        <v>85</v>
      </c>
      <c r="Q19" s="5">
        <v>16</v>
      </c>
      <c r="R19" s="12">
        <v>0.8</v>
      </c>
      <c r="S19" s="12">
        <v>2.34</v>
      </c>
      <c r="V19" s="12">
        <v>2.5</v>
      </c>
      <c r="X19" s="12">
        <v>6.5</v>
      </c>
      <c r="AC19" s="5">
        <v>16</v>
      </c>
      <c r="AH19" s="4">
        <v>10</v>
      </c>
      <c r="AI19" s="167">
        <v>946</v>
      </c>
      <c r="AJ19" s="4">
        <v>10.6</v>
      </c>
      <c r="AK19" s="167">
        <v>1012</v>
      </c>
    </row>
    <row r="20" spans="1:37" ht="12.75">
      <c r="A20" s="5">
        <v>84</v>
      </c>
      <c r="B20" s="4">
        <v>12.9</v>
      </c>
      <c r="F20" s="11">
        <v>0.00163194444444444</v>
      </c>
      <c r="J20" s="12">
        <v>12.4</v>
      </c>
      <c r="P20" s="5">
        <v>84</v>
      </c>
      <c r="Q20" s="5">
        <v>17</v>
      </c>
      <c r="R20" s="12">
        <v>0.81</v>
      </c>
      <c r="S20" s="12">
        <v>2.37</v>
      </c>
      <c r="V20" s="12">
        <v>2.6</v>
      </c>
      <c r="X20" s="12">
        <v>7</v>
      </c>
      <c r="AC20" s="5">
        <v>17</v>
      </c>
      <c r="AH20" s="4">
        <v>10.1</v>
      </c>
      <c r="AI20" s="167">
        <v>930</v>
      </c>
      <c r="AJ20" s="4">
        <v>10.7</v>
      </c>
      <c r="AK20" s="167">
        <v>995</v>
      </c>
    </row>
    <row r="21" spans="1:37" ht="12.75">
      <c r="A21" s="5">
        <v>83</v>
      </c>
      <c r="B21" s="4">
        <v>13</v>
      </c>
      <c r="F21" s="11">
        <v>0.00164351851851851</v>
      </c>
      <c r="J21" s="12">
        <v>12.5</v>
      </c>
      <c r="P21" s="5">
        <v>83</v>
      </c>
      <c r="Q21" s="5">
        <v>18</v>
      </c>
      <c r="R21" s="12">
        <v>0.82</v>
      </c>
      <c r="S21" s="12">
        <v>2.4</v>
      </c>
      <c r="V21" s="12">
        <v>2.7</v>
      </c>
      <c r="X21" s="12">
        <v>7.5</v>
      </c>
      <c r="AC21" s="5">
        <v>18</v>
      </c>
      <c r="AH21" s="4">
        <v>10.2</v>
      </c>
      <c r="AI21" s="167">
        <v>914</v>
      </c>
      <c r="AJ21" s="4">
        <v>10.8</v>
      </c>
      <c r="AK21" s="167">
        <v>978</v>
      </c>
    </row>
    <row r="22" spans="1:37" ht="12.75">
      <c r="A22" s="5">
        <v>82</v>
      </c>
      <c r="B22" s="4">
        <v>13.1</v>
      </c>
      <c r="F22" s="11">
        <v>0.00165509259259259</v>
      </c>
      <c r="J22" s="12">
        <v>12.6</v>
      </c>
      <c r="P22" s="5">
        <v>82</v>
      </c>
      <c r="Q22" s="5">
        <v>19</v>
      </c>
      <c r="R22" s="12">
        <v>0.83</v>
      </c>
      <c r="S22" s="12">
        <v>2.43</v>
      </c>
      <c r="V22" s="12">
        <v>2.8</v>
      </c>
      <c r="X22" s="12">
        <v>8</v>
      </c>
      <c r="AC22" s="5">
        <v>19</v>
      </c>
      <c r="AH22" s="4">
        <v>10.3</v>
      </c>
      <c r="AI22" s="167">
        <v>899</v>
      </c>
      <c r="AJ22" s="4">
        <v>10.9</v>
      </c>
      <c r="AK22" s="167">
        <v>962</v>
      </c>
    </row>
    <row r="23" spans="1:37" ht="12.75">
      <c r="A23" s="5">
        <v>81</v>
      </c>
      <c r="B23" s="4">
        <v>13.2</v>
      </c>
      <c r="F23" s="11">
        <v>0.00166666666666666</v>
      </c>
      <c r="J23" s="12">
        <v>12.7</v>
      </c>
      <c r="P23" s="5">
        <v>81</v>
      </c>
      <c r="Q23" s="5">
        <v>20</v>
      </c>
      <c r="R23" s="12">
        <v>0.84</v>
      </c>
      <c r="S23" s="12">
        <v>2.46</v>
      </c>
      <c r="V23" s="12">
        <v>2.9</v>
      </c>
      <c r="X23" s="12">
        <v>8.5</v>
      </c>
      <c r="AC23" s="5">
        <v>20</v>
      </c>
      <c r="AH23" s="4">
        <v>10.4</v>
      </c>
      <c r="AI23" s="167">
        <v>884</v>
      </c>
      <c r="AJ23" s="4">
        <v>11</v>
      </c>
      <c r="AK23" s="167">
        <v>946</v>
      </c>
    </row>
    <row r="24" spans="1:37" ht="12.75">
      <c r="A24" s="5">
        <v>80</v>
      </c>
      <c r="B24" s="4">
        <v>13.3</v>
      </c>
      <c r="F24" s="11">
        <v>0.00167824074074073</v>
      </c>
      <c r="J24" s="12">
        <v>12.8</v>
      </c>
      <c r="P24" s="5">
        <v>80</v>
      </c>
      <c r="Q24" s="5">
        <v>21</v>
      </c>
      <c r="R24" s="12">
        <v>0.85</v>
      </c>
      <c r="S24" s="12">
        <v>2.49</v>
      </c>
      <c r="V24" s="12">
        <v>3</v>
      </c>
      <c r="X24" s="12">
        <v>9</v>
      </c>
      <c r="AC24" s="5">
        <v>21</v>
      </c>
      <c r="AH24" s="4">
        <v>10.5</v>
      </c>
      <c r="AI24" s="167">
        <v>869</v>
      </c>
      <c r="AJ24" s="4">
        <v>11.1</v>
      </c>
      <c r="AK24" s="167">
        <v>930</v>
      </c>
    </row>
    <row r="25" spans="1:37" ht="12.75">
      <c r="A25" s="5">
        <v>79</v>
      </c>
      <c r="B25" s="4">
        <v>13.4</v>
      </c>
      <c r="F25" s="11">
        <v>0.00168981481481481</v>
      </c>
      <c r="J25" s="12">
        <v>12.9</v>
      </c>
      <c r="P25" s="5">
        <v>79</v>
      </c>
      <c r="Q25" s="5">
        <v>22</v>
      </c>
      <c r="R25" s="12">
        <v>0.86</v>
      </c>
      <c r="S25" s="12">
        <v>2.52</v>
      </c>
      <c r="V25" s="12">
        <v>3.1</v>
      </c>
      <c r="X25" s="12">
        <v>9.25</v>
      </c>
      <c r="AC25" s="5">
        <v>22</v>
      </c>
      <c r="AH25" s="4">
        <v>10.6</v>
      </c>
      <c r="AI25" s="167">
        <v>855</v>
      </c>
      <c r="AJ25" s="4">
        <v>11.2</v>
      </c>
      <c r="AK25" s="167">
        <v>914</v>
      </c>
    </row>
    <row r="26" spans="1:37" ht="12.75">
      <c r="A26" s="5">
        <v>78</v>
      </c>
      <c r="B26" s="4">
        <v>13.5</v>
      </c>
      <c r="F26" s="11">
        <v>0.00170138888888888</v>
      </c>
      <c r="J26" s="12">
        <v>13</v>
      </c>
      <c r="P26" s="5">
        <v>78</v>
      </c>
      <c r="Q26" s="5">
        <v>23</v>
      </c>
      <c r="R26" s="12">
        <v>0.87</v>
      </c>
      <c r="S26" s="12">
        <v>2.55</v>
      </c>
      <c r="V26" s="12">
        <v>3.2</v>
      </c>
      <c r="X26" s="12">
        <v>9.5</v>
      </c>
      <c r="AC26" s="5">
        <v>23</v>
      </c>
      <c r="AH26" s="4">
        <v>10.7</v>
      </c>
      <c r="AI26" s="167">
        <v>840</v>
      </c>
      <c r="AJ26" s="4">
        <v>11.3</v>
      </c>
      <c r="AK26" s="167">
        <v>899</v>
      </c>
    </row>
    <row r="27" spans="1:37" ht="12.75">
      <c r="A27" s="5">
        <v>77</v>
      </c>
      <c r="B27" s="4">
        <v>13.6</v>
      </c>
      <c r="F27" s="11">
        <v>0.00171296296296295</v>
      </c>
      <c r="J27" s="12">
        <v>13.1</v>
      </c>
      <c r="P27" s="5">
        <v>77</v>
      </c>
      <c r="Q27" s="5">
        <v>24</v>
      </c>
      <c r="R27" s="12">
        <v>0.88</v>
      </c>
      <c r="S27" s="12">
        <v>2.58</v>
      </c>
      <c r="V27" s="12">
        <v>3.3</v>
      </c>
      <c r="X27" s="12">
        <v>9.75</v>
      </c>
      <c r="AC27" s="5">
        <v>24</v>
      </c>
      <c r="AH27" s="4">
        <v>10.8</v>
      </c>
      <c r="AI27" s="167">
        <v>826</v>
      </c>
      <c r="AJ27" s="4">
        <v>11.4</v>
      </c>
      <c r="AK27" s="167">
        <v>884</v>
      </c>
    </row>
    <row r="28" spans="1:37" ht="12.75">
      <c r="A28" s="5">
        <v>76</v>
      </c>
      <c r="B28" s="4">
        <v>13.7</v>
      </c>
      <c r="F28" s="11">
        <v>0.00172453703703703</v>
      </c>
      <c r="J28" s="12">
        <v>13.2</v>
      </c>
      <c r="P28" s="5">
        <v>76</v>
      </c>
      <c r="Q28" s="5">
        <v>25</v>
      </c>
      <c r="R28" s="12">
        <v>0.89</v>
      </c>
      <c r="S28" s="12">
        <v>2.61</v>
      </c>
      <c r="V28" s="12">
        <v>3.4</v>
      </c>
      <c r="X28" s="12">
        <v>10</v>
      </c>
      <c r="AC28" s="5">
        <v>25</v>
      </c>
      <c r="AH28" s="4">
        <v>10.9</v>
      </c>
      <c r="AI28" s="167">
        <v>813</v>
      </c>
      <c r="AJ28" s="4">
        <v>11.5</v>
      </c>
      <c r="AK28" s="167">
        <v>869</v>
      </c>
    </row>
    <row r="29" spans="1:37" ht="12.75">
      <c r="A29" s="5">
        <v>75</v>
      </c>
      <c r="B29" s="4">
        <v>13.8</v>
      </c>
      <c r="F29" s="11">
        <v>0.0017361111111111</v>
      </c>
      <c r="J29" s="12">
        <v>13.3</v>
      </c>
      <c r="P29" s="5">
        <v>75</v>
      </c>
      <c r="Q29" s="5">
        <v>26</v>
      </c>
      <c r="R29" s="12">
        <v>0.9</v>
      </c>
      <c r="S29" s="12">
        <v>2.64</v>
      </c>
      <c r="V29" s="12">
        <v>3.5</v>
      </c>
      <c r="X29" s="12">
        <v>10.25</v>
      </c>
      <c r="AC29" s="5">
        <v>26</v>
      </c>
      <c r="AH29" s="4">
        <v>11</v>
      </c>
      <c r="AI29" s="167">
        <v>799</v>
      </c>
      <c r="AJ29" s="4">
        <v>11.6</v>
      </c>
      <c r="AK29" s="167">
        <v>855</v>
      </c>
    </row>
    <row r="30" spans="1:37" ht="12.75">
      <c r="A30" s="5">
        <v>74</v>
      </c>
      <c r="B30" s="4">
        <v>13.9</v>
      </c>
      <c r="F30" s="11">
        <v>0.0017592592592592592</v>
      </c>
      <c r="J30" s="12">
        <v>13.4</v>
      </c>
      <c r="P30" s="5">
        <v>74</v>
      </c>
      <c r="Q30" s="5">
        <v>27</v>
      </c>
      <c r="R30" s="12">
        <v>0.91</v>
      </c>
      <c r="S30" s="12">
        <v>2.67</v>
      </c>
      <c r="V30" s="12">
        <v>3.6</v>
      </c>
      <c r="X30" s="12">
        <v>10.5</v>
      </c>
      <c r="AC30" s="5">
        <v>27</v>
      </c>
      <c r="AH30" s="4">
        <v>11.1</v>
      </c>
      <c r="AI30" s="167">
        <v>786</v>
      </c>
      <c r="AJ30" s="4">
        <v>11.7</v>
      </c>
      <c r="AK30" s="167">
        <v>840</v>
      </c>
    </row>
    <row r="31" spans="1:37" ht="12.75">
      <c r="A31" s="5">
        <v>73</v>
      </c>
      <c r="B31" s="4">
        <v>14</v>
      </c>
      <c r="F31" s="11">
        <v>0.00178240740740742</v>
      </c>
      <c r="J31" s="12">
        <v>13.5</v>
      </c>
      <c r="P31" s="5">
        <v>73</v>
      </c>
      <c r="Q31" s="5">
        <v>28</v>
      </c>
      <c r="R31" s="12">
        <v>0.92</v>
      </c>
      <c r="S31" s="12">
        <v>2.7</v>
      </c>
      <c r="V31" s="12">
        <v>3.7</v>
      </c>
      <c r="X31" s="12">
        <v>10.75</v>
      </c>
      <c r="AC31" s="5">
        <v>28</v>
      </c>
      <c r="AH31" s="4">
        <v>11.2</v>
      </c>
      <c r="AI31" s="167">
        <v>773</v>
      </c>
      <c r="AJ31" s="4">
        <v>11.8</v>
      </c>
      <c r="AK31" s="167">
        <v>826</v>
      </c>
    </row>
    <row r="32" spans="1:37" ht="12.75">
      <c r="A32" s="5">
        <v>72</v>
      </c>
      <c r="F32" s="11">
        <v>0.00180555555555558</v>
      </c>
      <c r="J32" s="12">
        <v>13.6</v>
      </c>
      <c r="P32" s="5">
        <v>72</v>
      </c>
      <c r="Q32" s="5">
        <v>29</v>
      </c>
      <c r="R32" s="12">
        <v>0.93</v>
      </c>
      <c r="S32" s="12">
        <v>2.73</v>
      </c>
      <c r="V32" s="12">
        <v>3.8</v>
      </c>
      <c r="X32" s="12">
        <v>11</v>
      </c>
      <c r="AC32" s="5">
        <v>29</v>
      </c>
      <c r="AH32" s="4">
        <v>11.3</v>
      </c>
      <c r="AI32" s="167">
        <v>760</v>
      </c>
      <c r="AJ32" s="4">
        <v>11.9</v>
      </c>
      <c r="AK32" s="167">
        <v>813</v>
      </c>
    </row>
    <row r="33" spans="1:37" ht="12.75">
      <c r="A33" s="5">
        <v>71</v>
      </c>
      <c r="B33" s="4">
        <v>14.1</v>
      </c>
      <c r="F33" s="11">
        <v>0.00182870370370374</v>
      </c>
      <c r="J33" s="12">
        <v>13.7</v>
      </c>
      <c r="P33" s="5">
        <v>71</v>
      </c>
      <c r="Q33" s="5">
        <v>30</v>
      </c>
      <c r="R33" s="12">
        <v>0.94</v>
      </c>
      <c r="S33" s="12">
        <v>2.76</v>
      </c>
      <c r="V33" s="12">
        <v>3.9</v>
      </c>
      <c r="X33" s="12">
        <v>11.25</v>
      </c>
      <c r="AC33" s="5">
        <v>30</v>
      </c>
      <c r="AH33" s="4">
        <v>11.4</v>
      </c>
      <c r="AI33" s="167">
        <v>747</v>
      </c>
      <c r="AJ33" s="4">
        <v>12</v>
      </c>
      <c r="AK33" s="167">
        <v>799</v>
      </c>
    </row>
    <row r="34" spans="1:37" ht="12.75">
      <c r="A34" s="5">
        <v>70</v>
      </c>
      <c r="F34" s="11">
        <v>0.0018518518518519</v>
      </c>
      <c r="J34" s="12">
        <v>13.8</v>
      </c>
      <c r="P34" s="5">
        <v>70</v>
      </c>
      <c r="Q34" s="5">
        <v>31</v>
      </c>
      <c r="R34" s="12">
        <v>0.95</v>
      </c>
      <c r="S34" s="12">
        <v>2.79</v>
      </c>
      <c r="V34" s="12">
        <v>4</v>
      </c>
      <c r="X34" s="12">
        <v>11.5</v>
      </c>
      <c r="AC34" s="5">
        <v>31</v>
      </c>
      <c r="AH34" s="4">
        <v>11.5</v>
      </c>
      <c r="AI34" s="167">
        <v>734</v>
      </c>
      <c r="AJ34" s="4">
        <v>12.1</v>
      </c>
      <c r="AK34" s="167">
        <v>786</v>
      </c>
    </row>
    <row r="35" spans="1:37" ht="12.75">
      <c r="A35" s="5">
        <v>69</v>
      </c>
      <c r="B35" s="4">
        <v>14.2</v>
      </c>
      <c r="F35" s="11">
        <v>0.00187500000000006</v>
      </c>
      <c r="J35" s="12">
        <v>13.9</v>
      </c>
      <c r="P35" s="5">
        <v>69</v>
      </c>
      <c r="Q35" s="5">
        <v>32</v>
      </c>
      <c r="R35" s="12">
        <v>0.96</v>
      </c>
      <c r="S35" s="12">
        <v>2.82</v>
      </c>
      <c r="V35" s="12">
        <v>4.1</v>
      </c>
      <c r="X35" s="12">
        <v>11.75</v>
      </c>
      <c r="AC35" s="5">
        <v>32</v>
      </c>
      <c r="AH35" s="4">
        <v>11.6</v>
      </c>
      <c r="AI35" s="167">
        <v>722</v>
      </c>
      <c r="AJ35" s="4">
        <v>12.2</v>
      </c>
      <c r="AK35" s="167">
        <v>773</v>
      </c>
    </row>
    <row r="36" spans="1:37" ht="12.75">
      <c r="A36" s="5">
        <v>68</v>
      </c>
      <c r="F36" s="11">
        <v>0.00189814814814821</v>
      </c>
      <c r="J36" s="12">
        <v>14</v>
      </c>
      <c r="P36" s="5">
        <v>68</v>
      </c>
      <c r="Q36" s="5">
        <v>33</v>
      </c>
      <c r="R36" s="12">
        <v>0.97</v>
      </c>
      <c r="S36" s="12">
        <v>2.85</v>
      </c>
      <c r="V36" s="12">
        <v>4.2</v>
      </c>
      <c r="X36" s="12">
        <v>12</v>
      </c>
      <c r="AC36" s="5">
        <v>33</v>
      </c>
      <c r="AH36" s="4">
        <v>11.7</v>
      </c>
      <c r="AI36" s="167">
        <v>710</v>
      </c>
      <c r="AJ36" s="4">
        <v>12.3</v>
      </c>
      <c r="AK36" s="167">
        <v>760</v>
      </c>
    </row>
    <row r="37" spans="1:37" ht="12.75">
      <c r="A37" s="5">
        <v>67</v>
      </c>
      <c r="B37" s="4">
        <v>14.3</v>
      </c>
      <c r="F37" s="11">
        <v>0.00192129629629637</v>
      </c>
      <c r="J37" s="12">
        <v>14.1</v>
      </c>
      <c r="P37" s="5">
        <v>67</v>
      </c>
      <c r="Q37" s="5">
        <v>34</v>
      </c>
      <c r="R37" s="12">
        <v>0.98</v>
      </c>
      <c r="S37" s="12">
        <v>2.88</v>
      </c>
      <c r="V37" s="12">
        <v>4.3</v>
      </c>
      <c r="X37" s="12">
        <v>12.25</v>
      </c>
      <c r="AC37" s="5">
        <v>34</v>
      </c>
      <c r="AH37" s="4">
        <v>11.8</v>
      </c>
      <c r="AI37" s="167">
        <v>698</v>
      </c>
      <c r="AJ37" s="4">
        <v>12.4</v>
      </c>
      <c r="AK37" s="167">
        <v>747</v>
      </c>
    </row>
    <row r="38" spans="1:37" ht="12.75">
      <c r="A38" s="5">
        <v>66</v>
      </c>
      <c r="F38" s="11">
        <v>0.00194444444444453</v>
      </c>
      <c r="J38" s="12">
        <v>14.2</v>
      </c>
      <c r="P38" s="5">
        <v>66</v>
      </c>
      <c r="Q38" s="5">
        <v>35</v>
      </c>
      <c r="R38" s="12">
        <v>0.99</v>
      </c>
      <c r="S38" s="12">
        <v>2.91</v>
      </c>
      <c r="V38" s="12">
        <v>4.4</v>
      </c>
      <c r="X38" s="12">
        <v>12.5</v>
      </c>
      <c r="AC38" s="5">
        <v>35</v>
      </c>
      <c r="AH38" s="4">
        <v>11.9</v>
      </c>
      <c r="AI38" s="167">
        <v>686</v>
      </c>
      <c r="AJ38" s="4">
        <v>12.5</v>
      </c>
      <c r="AK38" s="167">
        <v>734</v>
      </c>
    </row>
    <row r="39" spans="1:37" ht="12.75">
      <c r="A39" s="5">
        <v>65</v>
      </c>
      <c r="B39" s="4">
        <v>14.4</v>
      </c>
      <c r="F39" s="11">
        <v>0.00196759259259269</v>
      </c>
      <c r="J39" s="12">
        <v>14.3</v>
      </c>
      <c r="P39" s="5">
        <v>65</v>
      </c>
      <c r="Q39" s="5">
        <v>36</v>
      </c>
      <c r="R39" s="12">
        <v>1</v>
      </c>
      <c r="S39" s="12">
        <v>2.94</v>
      </c>
      <c r="V39" s="12">
        <v>4.5</v>
      </c>
      <c r="X39" s="12">
        <v>12.75</v>
      </c>
      <c r="AC39" s="5">
        <v>36</v>
      </c>
      <c r="AH39" s="4">
        <v>12</v>
      </c>
      <c r="AI39" s="167">
        <v>675</v>
      </c>
      <c r="AJ39" s="4">
        <v>12.6</v>
      </c>
      <c r="AK39" s="167">
        <v>722</v>
      </c>
    </row>
    <row r="40" spans="1:37" ht="12.75">
      <c r="A40" s="5">
        <v>64</v>
      </c>
      <c r="F40" s="11">
        <v>0.00199074074074085</v>
      </c>
      <c r="J40" s="12">
        <v>14.4</v>
      </c>
      <c r="P40" s="5">
        <v>64</v>
      </c>
      <c r="Q40" s="5">
        <v>37</v>
      </c>
      <c r="R40" s="12">
        <v>1.01</v>
      </c>
      <c r="S40" s="12">
        <v>2.97</v>
      </c>
      <c r="V40" s="12">
        <v>4.6</v>
      </c>
      <c r="X40" s="12">
        <v>13</v>
      </c>
      <c r="AC40" s="5">
        <v>37</v>
      </c>
      <c r="AH40" s="4">
        <v>12.1</v>
      </c>
      <c r="AI40" s="167">
        <v>663</v>
      </c>
      <c r="AJ40" s="4">
        <v>12.7</v>
      </c>
      <c r="AK40" s="167">
        <v>710</v>
      </c>
    </row>
    <row r="41" spans="1:37" ht="12.75">
      <c r="A41" s="5">
        <v>63</v>
      </c>
      <c r="B41" s="4">
        <v>14.5</v>
      </c>
      <c r="F41" s="11">
        <v>0.00201388888888901</v>
      </c>
      <c r="J41" s="12">
        <v>14.5</v>
      </c>
      <c r="P41" s="5">
        <v>63</v>
      </c>
      <c r="Q41" s="5">
        <v>38</v>
      </c>
      <c r="R41" s="12">
        <v>1.02</v>
      </c>
      <c r="S41" s="12">
        <v>3</v>
      </c>
      <c r="V41" s="12">
        <v>4.7</v>
      </c>
      <c r="X41" s="12">
        <v>13.25</v>
      </c>
      <c r="AC41" s="5">
        <v>38</v>
      </c>
      <c r="AH41" s="4">
        <v>12.2</v>
      </c>
      <c r="AI41" s="167">
        <v>652</v>
      </c>
      <c r="AJ41" s="4">
        <v>12.8</v>
      </c>
      <c r="AK41" s="167">
        <v>698</v>
      </c>
    </row>
    <row r="42" spans="1:37" ht="12.75">
      <c r="A42" s="5">
        <v>62</v>
      </c>
      <c r="F42" s="11">
        <v>0.00203703703703717</v>
      </c>
      <c r="J42" s="12">
        <v>14.6</v>
      </c>
      <c r="P42" s="5">
        <v>62</v>
      </c>
      <c r="Q42" s="5">
        <v>39</v>
      </c>
      <c r="R42" s="12">
        <v>1.03</v>
      </c>
      <c r="S42" s="12">
        <v>3.03</v>
      </c>
      <c r="V42" s="12">
        <v>4.8</v>
      </c>
      <c r="X42" s="12">
        <v>13.5</v>
      </c>
      <c r="AC42" s="5">
        <v>39</v>
      </c>
      <c r="AH42" s="4">
        <v>12.3</v>
      </c>
      <c r="AI42" s="167">
        <v>641</v>
      </c>
      <c r="AJ42" s="4">
        <v>12.9</v>
      </c>
      <c r="AK42" s="167">
        <v>686</v>
      </c>
    </row>
    <row r="43" spans="1:37" ht="12.75">
      <c r="A43" s="5">
        <v>61</v>
      </c>
      <c r="B43" s="4">
        <v>14.6</v>
      </c>
      <c r="F43" s="11">
        <v>0.00206018518518533</v>
      </c>
      <c r="J43" s="12">
        <v>14.7</v>
      </c>
      <c r="P43" s="5">
        <v>61</v>
      </c>
      <c r="Q43" s="5">
        <v>40</v>
      </c>
      <c r="R43" s="12">
        <v>1.04</v>
      </c>
      <c r="S43" s="12">
        <v>3.06</v>
      </c>
      <c r="V43" s="12">
        <v>4.9</v>
      </c>
      <c r="X43" s="12">
        <v>13.75</v>
      </c>
      <c r="AC43" s="5">
        <v>40</v>
      </c>
      <c r="AH43" s="4">
        <v>12.4</v>
      </c>
      <c r="AI43" s="167">
        <v>630</v>
      </c>
      <c r="AJ43" s="4">
        <v>13</v>
      </c>
      <c r="AK43" s="167">
        <v>675</v>
      </c>
    </row>
    <row r="44" spans="1:37" ht="12.75">
      <c r="A44" s="5">
        <v>60</v>
      </c>
      <c r="F44" s="11">
        <v>0.00208333333333349</v>
      </c>
      <c r="J44" s="12">
        <v>14.8</v>
      </c>
      <c r="P44" s="5">
        <v>60</v>
      </c>
      <c r="Q44" s="5">
        <v>41</v>
      </c>
      <c r="R44" s="12">
        <v>1.05</v>
      </c>
      <c r="S44" s="12">
        <v>3.09</v>
      </c>
      <c r="V44" s="12">
        <v>5</v>
      </c>
      <c r="X44" s="12">
        <v>14</v>
      </c>
      <c r="AC44" s="5">
        <v>41</v>
      </c>
      <c r="AH44" s="4">
        <v>12.5</v>
      </c>
      <c r="AI44" s="167">
        <v>620</v>
      </c>
      <c r="AJ44" s="4">
        <v>13.1</v>
      </c>
      <c r="AK44" s="167">
        <v>663</v>
      </c>
    </row>
    <row r="45" spans="1:37" ht="12.75">
      <c r="A45" s="5">
        <v>59</v>
      </c>
      <c r="B45" s="4">
        <v>14.7</v>
      </c>
      <c r="F45" s="11">
        <v>0.00210648148148165</v>
      </c>
      <c r="J45" s="12">
        <v>14.9</v>
      </c>
      <c r="P45" s="5">
        <v>59</v>
      </c>
      <c r="Q45" s="5">
        <v>42</v>
      </c>
      <c r="R45" s="12">
        <v>1.06</v>
      </c>
      <c r="S45" s="12">
        <v>3.12</v>
      </c>
      <c r="V45" s="12">
        <v>5.1</v>
      </c>
      <c r="X45" s="12">
        <v>14.25</v>
      </c>
      <c r="AC45" s="5">
        <v>42</v>
      </c>
      <c r="AH45" s="4">
        <v>12.6</v>
      </c>
      <c r="AI45" s="167">
        <v>609</v>
      </c>
      <c r="AJ45" s="4">
        <v>13.2</v>
      </c>
      <c r="AK45" s="167">
        <v>652</v>
      </c>
    </row>
    <row r="46" spans="1:37" ht="12.75">
      <c r="A46" s="5">
        <v>58</v>
      </c>
      <c r="F46" s="11">
        <v>0.00212962962962981</v>
      </c>
      <c r="J46" s="12">
        <v>15</v>
      </c>
      <c r="P46" s="5">
        <v>58</v>
      </c>
      <c r="Q46" s="5">
        <v>43</v>
      </c>
      <c r="R46" s="12">
        <v>1.07</v>
      </c>
      <c r="S46" s="12">
        <v>3.15</v>
      </c>
      <c r="V46" s="12">
        <v>5.2</v>
      </c>
      <c r="X46" s="12">
        <v>14.5</v>
      </c>
      <c r="AC46" s="5">
        <v>43</v>
      </c>
      <c r="AH46" s="4">
        <v>12.7</v>
      </c>
      <c r="AI46" s="167">
        <v>599</v>
      </c>
      <c r="AJ46" s="4">
        <v>13.3</v>
      </c>
      <c r="AK46" s="167">
        <v>641</v>
      </c>
    </row>
    <row r="47" spans="1:37" ht="12.75">
      <c r="A47" s="5">
        <v>57</v>
      </c>
      <c r="B47" s="4">
        <v>14.8</v>
      </c>
      <c r="F47" s="11">
        <v>0.00215277777777797</v>
      </c>
      <c r="J47" s="12">
        <v>15.1</v>
      </c>
      <c r="P47" s="5">
        <v>57</v>
      </c>
      <c r="Q47" s="5">
        <v>44</v>
      </c>
      <c r="R47" s="12">
        <v>1.08</v>
      </c>
      <c r="S47" s="12">
        <v>3.18</v>
      </c>
      <c r="V47" s="12">
        <v>5.3</v>
      </c>
      <c r="X47" s="12">
        <v>14.75</v>
      </c>
      <c r="AC47" s="5">
        <v>44</v>
      </c>
      <c r="AH47" s="4">
        <v>12.8</v>
      </c>
      <c r="AI47" s="167">
        <v>588</v>
      </c>
      <c r="AJ47" s="4">
        <v>13.4</v>
      </c>
      <c r="AK47" s="167">
        <v>630</v>
      </c>
    </row>
    <row r="48" spans="1:37" ht="12.75">
      <c r="A48" s="5">
        <v>56</v>
      </c>
      <c r="F48" s="11">
        <v>0.00217592592592613</v>
      </c>
      <c r="J48" s="12">
        <v>15.2</v>
      </c>
      <c r="P48" s="5">
        <v>56</v>
      </c>
      <c r="Q48" s="5">
        <v>45</v>
      </c>
      <c r="R48" s="12">
        <v>1.09</v>
      </c>
      <c r="S48" s="12">
        <v>3.21</v>
      </c>
      <c r="V48" s="12">
        <v>5.4</v>
      </c>
      <c r="X48" s="12">
        <v>15</v>
      </c>
      <c r="AC48" s="5">
        <v>45</v>
      </c>
      <c r="AH48" s="4">
        <v>12.9</v>
      </c>
      <c r="AI48" s="167">
        <v>578</v>
      </c>
      <c r="AJ48" s="4">
        <v>13.5</v>
      </c>
      <c r="AK48" s="167">
        <v>620</v>
      </c>
    </row>
    <row r="49" spans="1:37" ht="12.75">
      <c r="A49" s="5">
        <v>55</v>
      </c>
      <c r="B49" s="4">
        <v>14.9</v>
      </c>
      <c r="F49" s="11">
        <v>0.00219907407407429</v>
      </c>
      <c r="J49" s="12">
        <v>15.3</v>
      </c>
      <c r="P49" s="5">
        <v>55</v>
      </c>
      <c r="Q49" s="5">
        <v>46</v>
      </c>
      <c r="R49" s="12">
        <v>1.1</v>
      </c>
      <c r="S49" s="12">
        <v>3.24</v>
      </c>
      <c r="V49" s="12">
        <v>5.5</v>
      </c>
      <c r="X49" s="12">
        <v>15.25</v>
      </c>
      <c r="AC49" s="5">
        <v>46</v>
      </c>
      <c r="AH49" s="4">
        <v>13</v>
      </c>
      <c r="AI49" s="167">
        <v>568</v>
      </c>
      <c r="AJ49" s="4">
        <v>13.6</v>
      </c>
      <c r="AK49" s="167">
        <v>609</v>
      </c>
    </row>
    <row r="50" spans="1:37" ht="12.75">
      <c r="A50" s="5">
        <v>54</v>
      </c>
      <c r="F50" s="11">
        <v>0.00222222222222245</v>
      </c>
      <c r="J50" s="12">
        <v>15.4</v>
      </c>
      <c r="P50" s="5">
        <v>54</v>
      </c>
      <c r="Q50" s="5">
        <v>47</v>
      </c>
      <c r="R50" s="12">
        <v>1.11</v>
      </c>
      <c r="S50" s="12">
        <v>3.27</v>
      </c>
      <c r="V50" s="12">
        <v>5.6</v>
      </c>
      <c r="X50" s="12">
        <v>15.5</v>
      </c>
      <c r="AC50" s="5">
        <v>47</v>
      </c>
      <c r="AH50" s="4">
        <v>13.1</v>
      </c>
      <c r="AI50" s="167">
        <v>558</v>
      </c>
      <c r="AJ50" s="4">
        <v>13.7</v>
      </c>
      <c r="AK50" s="167">
        <v>599</v>
      </c>
    </row>
    <row r="51" spans="1:37" ht="12.75">
      <c r="A51" s="5">
        <v>53</v>
      </c>
      <c r="B51" s="4">
        <v>15</v>
      </c>
      <c r="F51" s="11">
        <v>0.0022453703703706</v>
      </c>
      <c r="J51" s="12">
        <v>15.5</v>
      </c>
      <c r="P51" s="5">
        <v>53</v>
      </c>
      <c r="Q51" s="5">
        <v>48</v>
      </c>
      <c r="R51" s="12">
        <v>1.12</v>
      </c>
      <c r="S51" s="12">
        <v>3.3</v>
      </c>
      <c r="V51" s="12">
        <v>5.7</v>
      </c>
      <c r="X51" s="12">
        <v>15.75</v>
      </c>
      <c r="AC51" s="5">
        <v>48</v>
      </c>
      <c r="AH51" s="4">
        <v>13.2</v>
      </c>
      <c r="AI51" s="167">
        <v>549</v>
      </c>
      <c r="AJ51" s="4">
        <v>13.8</v>
      </c>
      <c r="AK51" s="167">
        <v>588</v>
      </c>
    </row>
    <row r="52" spans="1:37" ht="12.75">
      <c r="A52" s="5">
        <v>52</v>
      </c>
      <c r="F52" s="11">
        <v>0.00226851851851876</v>
      </c>
      <c r="J52" s="12">
        <v>15.6</v>
      </c>
      <c r="P52" s="5">
        <v>52</v>
      </c>
      <c r="Q52" s="5">
        <v>49</v>
      </c>
      <c r="R52" s="12">
        <v>1.13</v>
      </c>
      <c r="S52" s="12">
        <v>3.33</v>
      </c>
      <c r="V52" s="12">
        <v>5.8</v>
      </c>
      <c r="X52" s="12">
        <v>16</v>
      </c>
      <c r="AC52" s="5">
        <v>49</v>
      </c>
      <c r="AH52" s="4">
        <v>13.3</v>
      </c>
      <c r="AI52" s="167">
        <v>539</v>
      </c>
      <c r="AJ52" s="4">
        <v>13.9</v>
      </c>
      <c r="AK52" s="167">
        <v>578</v>
      </c>
    </row>
    <row r="53" spans="1:37" ht="12.75">
      <c r="A53" s="5">
        <v>51</v>
      </c>
      <c r="B53" s="4">
        <v>15.1</v>
      </c>
      <c r="F53" s="11">
        <v>0.00229166666666692</v>
      </c>
      <c r="J53" s="12">
        <v>15.7</v>
      </c>
      <c r="P53" s="5">
        <v>51</v>
      </c>
      <c r="Q53" s="5">
        <v>50</v>
      </c>
      <c r="R53" s="12">
        <v>1.14</v>
      </c>
      <c r="S53" s="12">
        <v>3.35999999999999</v>
      </c>
      <c r="V53" s="12">
        <v>5.9</v>
      </c>
      <c r="X53" s="12">
        <v>16.25</v>
      </c>
      <c r="AC53" s="5">
        <v>50</v>
      </c>
      <c r="AH53" s="4">
        <v>13.4</v>
      </c>
      <c r="AI53" s="167">
        <v>530</v>
      </c>
      <c r="AJ53" s="4">
        <v>14</v>
      </c>
      <c r="AK53" s="167">
        <v>568</v>
      </c>
    </row>
    <row r="54" spans="1:37" ht="12.75">
      <c r="A54" s="5">
        <v>50</v>
      </c>
      <c r="F54" s="11">
        <v>0.00231481481481508</v>
      </c>
      <c r="J54" s="12">
        <v>15.8</v>
      </c>
      <c r="P54" s="5">
        <v>50</v>
      </c>
      <c r="Q54" s="5">
        <v>51</v>
      </c>
      <c r="R54" s="12">
        <v>1.15</v>
      </c>
      <c r="S54" s="12">
        <v>3.39</v>
      </c>
      <c r="V54" s="12">
        <v>6</v>
      </c>
      <c r="X54" s="12">
        <v>16.5</v>
      </c>
      <c r="AC54" s="5">
        <v>51</v>
      </c>
      <c r="AH54" s="4">
        <v>13.5</v>
      </c>
      <c r="AI54" s="167">
        <v>521</v>
      </c>
      <c r="AJ54" s="4">
        <v>14.1</v>
      </c>
      <c r="AK54" s="167">
        <v>558</v>
      </c>
    </row>
    <row r="55" spans="1:37" ht="12.75">
      <c r="A55" s="5">
        <v>49</v>
      </c>
      <c r="B55" s="4">
        <v>15.2</v>
      </c>
      <c r="F55" s="11">
        <v>0.00233796296296324</v>
      </c>
      <c r="J55" s="12">
        <v>15.9</v>
      </c>
      <c r="P55" s="5">
        <v>49</v>
      </c>
      <c r="Q55" s="5">
        <v>52</v>
      </c>
      <c r="R55" s="12">
        <v>1.16</v>
      </c>
      <c r="S55" s="12">
        <v>3.42</v>
      </c>
      <c r="V55" s="12">
        <v>6.1</v>
      </c>
      <c r="X55" s="12">
        <v>16.75</v>
      </c>
      <c r="AC55" s="5">
        <v>52</v>
      </c>
      <c r="AH55" s="4">
        <v>13.6</v>
      </c>
      <c r="AI55" s="167">
        <v>511</v>
      </c>
      <c r="AJ55" s="4">
        <v>14.2</v>
      </c>
      <c r="AK55" s="167">
        <v>549</v>
      </c>
    </row>
    <row r="56" spans="1:37" ht="12.75">
      <c r="A56" s="5">
        <v>48</v>
      </c>
      <c r="B56" s="4">
        <v>15.3</v>
      </c>
      <c r="F56" s="11">
        <v>0.0023611111111114</v>
      </c>
      <c r="J56" s="12">
        <v>16</v>
      </c>
      <c r="P56" s="5">
        <v>48</v>
      </c>
      <c r="Q56" s="5">
        <v>53</v>
      </c>
      <c r="R56" s="12">
        <v>1.17</v>
      </c>
      <c r="S56" s="12">
        <v>3.44999999999999</v>
      </c>
      <c r="V56" s="12">
        <v>6.2</v>
      </c>
      <c r="X56" s="12">
        <v>17</v>
      </c>
      <c r="AC56" s="5">
        <v>53</v>
      </c>
      <c r="AH56" s="4">
        <v>13.7</v>
      </c>
      <c r="AI56" s="167">
        <v>502</v>
      </c>
      <c r="AJ56" s="4">
        <v>14.3</v>
      </c>
      <c r="AK56" s="167">
        <v>539</v>
      </c>
    </row>
    <row r="57" spans="1:37" ht="12.75">
      <c r="A57" s="5">
        <v>47</v>
      </c>
      <c r="B57" s="4">
        <v>15.4</v>
      </c>
      <c r="F57" s="11">
        <v>0.00238425925925956</v>
      </c>
      <c r="J57" s="12">
        <v>16.1</v>
      </c>
      <c r="P57" s="5">
        <v>47</v>
      </c>
      <c r="Q57" s="5">
        <v>54</v>
      </c>
      <c r="R57" s="12">
        <v>1.18</v>
      </c>
      <c r="S57" s="12">
        <v>3.48</v>
      </c>
      <c r="V57" s="12">
        <v>6.3</v>
      </c>
      <c r="X57" s="12">
        <v>17.25</v>
      </c>
      <c r="AC57" s="5">
        <v>54</v>
      </c>
      <c r="AH57" s="4">
        <v>13.8</v>
      </c>
      <c r="AI57" s="167">
        <v>497</v>
      </c>
      <c r="AJ57" s="4">
        <v>14.4</v>
      </c>
      <c r="AK57" s="167">
        <v>530</v>
      </c>
    </row>
    <row r="58" spans="1:37" ht="12.75">
      <c r="A58" s="5">
        <v>46</v>
      </c>
      <c r="B58" s="4">
        <v>15.5</v>
      </c>
      <c r="F58" s="11">
        <v>0.00240740740740772</v>
      </c>
      <c r="J58" s="12">
        <v>16.2</v>
      </c>
      <c r="P58" s="5">
        <v>46</v>
      </c>
      <c r="Q58" s="5">
        <v>55</v>
      </c>
      <c r="R58" s="12">
        <v>1.19</v>
      </c>
      <c r="S58" s="12">
        <v>3.50999999999999</v>
      </c>
      <c r="V58" s="12">
        <v>6.4</v>
      </c>
      <c r="X58" s="12">
        <v>17.5</v>
      </c>
      <c r="AC58" s="5">
        <v>55</v>
      </c>
      <c r="AH58" s="4">
        <v>13.9</v>
      </c>
      <c r="AI58" s="167">
        <v>489</v>
      </c>
      <c r="AJ58" s="4">
        <v>14.5</v>
      </c>
      <c r="AK58" s="167">
        <v>521</v>
      </c>
    </row>
    <row r="59" spans="1:37" ht="12.75">
      <c r="A59" s="5">
        <v>45</v>
      </c>
      <c r="B59" s="4">
        <v>15.6</v>
      </c>
      <c r="F59" s="11">
        <v>0.00243055555555588</v>
      </c>
      <c r="J59" s="12">
        <v>16.3</v>
      </c>
      <c r="P59" s="5">
        <v>45</v>
      </c>
      <c r="Q59" s="5">
        <v>56</v>
      </c>
      <c r="R59" s="12">
        <v>1.2</v>
      </c>
      <c r="S59" s="12">
        <v>3.53999999999999</v>
      </c>
      <c r="V59" s="12">
        <v>6.5</v>
      </c>
      <c r="X59" s="12">
        <v>17.75</v>
      </c>
      <c r="AC59" s="5">
        <v>56</v>
      </c>
      <c r="AH59" s="4">
        <v>14</v>
      </c>
      <c r="AI59" s="167">
        <v>480</v>
      </c>
      <c r="AJ59" s="4">
        <v>14.6</v>
      </c>
      <c r="AK59" s="167">
        <v>511</v>
      </c>
    </row>
    <row r="60" spans="1:37" ht="12.75">
      <c r="A60" s="5">
        <v>44</v>
      </c>
      <c r="B60" s="4">
        <v>15.7</v>
      </c>
      <c r="F60" s="11">
        <v>0.00245370370370404</v>
      </c>
      <c r="J60" s="12">
        <v>16.4</v>
      </c>
      <c r="P60" s="5">
        <v>44</v>
      </c>
      <c r="Q60" s="5">
        <v>57</v>
      </c>
      <c r="R60" s="12">
        <v>1.21</v>
      </c>
      <c r="S60" s="12">
        <v>3.56999999999999</v>
      </c>
      <c r="V60" s="12">
        <v>6.6</v>
      </c>
      <c r="X60" s="12">
        <v>18</v>
      </c>
      <c r="AC60" s="5">
        <v>57</v>
      </c>
      <c r="AH60" s="4">
        <v>14.1</v>
      </c>
      <c r="AI60" s="167">
        <v>471</v>
      </c>
      <c r="AJ60" s="4">
        <v>14.7</v>
      </c>
      <c r="AK60" s="167">
        <v>502</v>
      </c>
    </row>
    <row r="61" spans="1:37" ht="12.75">
      <c r="A61" s="5">
        <v>43</v>
      </c>
      <c r="B61" s="4">
        <v>15.8</v>
      </c>
      <c r="F61" s="11">
        <v>0.0024768518518522</v>
      </c>
      <c r="J61" s="12">
        <v>16.5</v>
      </c>
      <c r="P61" s="5">
        <v>43</v>
      </c>
      <c r="Q61" s="5">
        <v>58</v>
      </c>
      <c r="R61" s="12">
        <v>1.22</v>
      </c>
      <c r="S61" s="12">
        <v>3.59999999999999</v>
      </c>
      <c r="V61" s="12">
        <v>6.7</v>
      </c>
      <c r="X61" s="12">
        <v>18.25</v>
      </c>
      <c r="AC61" s="5">
        <v>58</v>
      </c>
      <c r="AH61" s="4">
        <v>14.2</v>
      </c>
      <c r="AI61" s="167">
        <v>463</v>
      </c>
      <c r="AJ61" s="4">
        <v>14.8</v>
      </c>
      <c r="AK61" s="167">
        <v>497</v>
      </c>
    </row>
    <row r="62" spans="1:37" ht="12.75">
      <c r="A62" s="5">
        <v>42</v>
      </c>
      <c r="B62" s="4">
        <v>15.9</v>
      </c>
      <c r="F62" s="11">
        <v>0.00250000000000036</v>
      </c>
      <c r="J62" s="12">
        <v>16.6</v>
      </c>
      <c r="P62" s="5">
        <v>42</v>
      </c>
      <c r="Q62" s="5">
        <v>59</v>
      </c>
      <c r="R62" s="12">
        <v>1.23</v>
      </c>
      <c r="S62" s="12">
        <v>3.62999999999999</v>
      </c>
      <c r="V62" s="12">
        <v>6.8</v>
      </c>
      <c r="X62" s="12">
        <v>18.5</v>
      </c>
      <c r="AC62" s="5">
        <v>59</v>
      </c>
      <c r="AH62" s="4">
        <v>14.3</v>
      </c>
      <c r="AI62" s="167">
        <v>454</v>
      </c>
      <c r="AJ62" s="4">
        <v>14.9</v>
      </c>
      <c r="AK62" s="167">
        <v>489</v>
      </c>
    </row>
    <row r="63" spans="1:37" ht="12.75">
      <c r="A63" s="5">
        <v>41</v>
      </c>
      <c r="B63" s="4">
        <v>16</v>
      </c>
      <c r="F63" s="11">
        <v>0.00252314814814852</v>
      </c>
      <c r="J63" s="12">
        <v>16.7</v>
      </c>
      <c r="P63" s="5">
        <v>41</v>
      </c>
      <c r="Q63" s="5">
        <v>60</v>
      </c>
      <c r="R63" s="12">
        <v>1.24</v>
      </c>
      <c r="S63" s="12">
        <v>3.65999999999999</v>
      </c>
      <c r="V63" s="12">
        <v>6.9</v>
      </c>
      <c r="X63" s="12">
        <v>18.75</v>
      </c>
      <c r="AC63" s="5">
        <v>60</v>
      </c>
      <c r="AH63" s="4">
        <v>14.4</v>
      </c>
      <c r="AI63" s="167">
        <v>446</v>
      </c>
      <c r="AJ63" s="4">
        <v>15</v>
      </c>
      <c r="AK63" s="167">
        <v>480</v>
      </c>
    </row>
    <row r="64" spans="1:37" ht="12.75">
      <c r="A64" s="5">
        <v>40</v>
      </c>
      <c r="B64" s="4">
        <v>16.1</v>
      </c>
      <c r="F64" s="11">
        <v>0.00254629629629668</v>
      </c>
      <c r="J64" s="12">
        <v>16.8</v>
      </c>
      <c r="P64" s="5">
        <v>40</v>
      </c>
      <c r="Q64" s="5">
        <v>61</v>
      </c>
      <c r="R64" s="12">
        <v>1.25</v>
      </c>
      <c r="S64" s="12">
        <v>3.68999999999999</v>
      </c>
      <c r="V64" s="12">
        <v>7</v>
      </c>
      <c r="X64" s="12">
        <v>19</v>
      </c>
      <c r="AC64" s="5">
        <v>61</v>
      </c>
      <c r="AH64" s="4">
        <v>14.5</v>
      </c>
      <c r="AI64" s="167">
        <v>438</v>
      </c>
      <c r="AJ64" s="4">
        <v>15.1</v>
      </c>
      <c r="AK64" s="167">
        <v>471</v>
      </c>
    </row>
    <row r="65" spans="1:37" ht="12.75">
      <c r="A65" s="5">
        <v>39</v>
      </c>
      <c r="B65" s="4">
        <v>16.2</v>
      </c>
      <c r="F65" s="11">
        <v>0.00256944444444483</v>
      </c>
      <c r="J65" s="12">
        <v>16.9</v>
      </c>
      <c r="P65" s="5">
        <v>39</v>
      </c>
      <c r="Q65" s="5">
        <v>62</v>
      </c>
      <c r="R65" s="12">
        <v>1.26</v>
      </c>
      <c r="S65" s="12">
        <v>3.71999999999999</v>
      </c>
      <c r="V65" s="12">
        <v>7.1</v>
      </c>
      <c r="X65" s="12">
        <v>19.25</v>
      </c>
      <c r="AC65" s="5">
        <v>62</v>
      </c>
      <c r="AH65" s="4">
        <v>14.6</v>
      </c>
      <c r="AI65" s="167">
        <v>430</v>
      </c>
      <c r="AJ65" s="4">
        <v>15.2</v>
      </c>
      <c r="AK65" s="167">
        <v>463</v>
      </c>
    </row>
    <row r="66" spans="1:37" ht="12.75">
      <c r="A66" s="5">
        <v>38</v>
      </c>
      <c r="B66" s="4">
        <v>16.3</v>
      </c>
      <c r="F66" s="11">
        <v>0.00259259259259299</v>
      </c>
      <c r="J66" s="12">
        <v>17</v>
      </c>
      <c r="P66" s="5">
        <v>38</v>
      </c>
      <c r="Q66" s="5">
        <v>63</v>
      </c>
      <c r="R66" s="12">
        <v>1.27</v>
      </c>
      <c r="S66" s="12">
        <v>3.74999999999999</v>
      </c>
      <c r="V66" s="12">
        <v>7.2</v>
      </c>
      <c r="X66" s="12">
        <v>19.5</v>
      </c>
      <c r="AC66" s="5">
        <v>63</v>
      </c>
      <c r="AH66" s="4">
        <v>14.7</v>
      </c>
      <c r="AI66" s="167">
        <v>422</v>
      </c>
      <c r="AJ66" s="4">
        <v>15.3</v>
      </c>
      <c r="AK66" s="167">
        <v>454</v>
      </c>
    </row>
    <row r="67" spans="1:37" ht="12.75">
      <c r="A67" s="5">
        <v>37</v>
      </c>
      <c r="B67" s="4">
        <v>16.4</v>
      </c>
      <c r="F67" s="11">
        <v>0.00261574074074115</v>
      </c>
      <c r="J67" s="12">
        <v>17.1</v>
      </c>
      <c r="P67" s="5">
        <v>37</v>
      </c>
      <c r="Q67" s="5">
        <v>64</v>
      </c>
      <c r="R67" s="12">
        <v>1.28</v>
      </c>
      <c r="S67" s="12">
        <v>3.77999999999999</v>
      </c>
      <c r="V67" s="12">
        <v>7.3</v>
      </c>
      <c r="X67" s="12">
        <v>19.75</v>
      </c>
      <c r="AC67" s="5">
        <v>64</v>
      </c>
      <c r="AH67" s="4">
        <v>14.8</v>
      </c>
      <c r="AI67" s="167">
        <v>414</v>
      </c>
      <c r="AJ67" s="4">
        <v>15.4</v>
      </c>
      <c r="AK67" s="167">
        <v>446</v>
      </c>
    </row>
    <row r="68" spans="1:37" ht="12.75">
      <c r="A68" s="5">
        <v>36</v>
      </c>
      <c r="B68" s="4">
        <v>16.5</v>
      </c>
      <c r="F68" s="11">
        <v>0.00263888888888931</v>
      </c>
      <c r="J68" s="12">
        <v>17.2</v>
      </c>
      <c r="P68" s="5">
        <v>36</v>
      </c>
      <c r="Q68" s="5">
        <v>65</v>
      </c>
      <c r="R68" s="12">
        <v>1.29</v>
      </c>
      <c r="S68" s="12">
        <v>3.80999999999999</v>
      </c>
      <c r="V68" s="12">
        <v>7.4</v>
      </c>
      <c r="X68" s="12">
        <v>20</v>
      </c>
      <c r="AC68" s="5">
        <v>65</v>
      </c>
      <c r="AH68" s="4">
        <v>14.9</v>
      </c>
      <c r="AI68" s="167">
        <v>406</v>
      </c>
      <c r="AJ68" s="4">
        <v>15.5</v>
      </c>
      <c r="AK68" s="167">
        <v>438</v>
      </c>
    </row>
    <row r="69" spans="1:37" ht="12.75">
      <c r="A69" s="5">
        <v>35</v>
      </c>
      <c r="B69" s="4">
        <v>16.6</v>
      </c>
      <c r="F69" s="11">
        <v>0.00266203703703747</v>
      </c>
      <c r="J69" s="12">
        <v>17.3</v>
      </c>
      <c r="P69" s="5">
        <v>35</v>
      </c>
      <c r="Q69" s="5">
        <v>66</v>
      </c>
      <c r="R69" s="12">
        <v>1.3</v>
      </c>
      <c r="S69" s="12">
        <v>3.83999999999999</v>
      </c>
      <c r="V69" s="12">
        <v>7.50000000000001</v>
      </c>
      <c r="X69" s="12">
        <v>20.25</v>
      </c>
      <c r="AC69" s="5">
        <v>66</v>
      </c>
      <c r="AH69" s="4">
        <v>15</v>
      </c>
      <c r="AI69" s="167">
        <v>399</v>
      </c>
      <c r="AJ69" s="4">
        <v>15.6</v>
      </c>
      <c r="AK69" s="167">
        <v>430</v>
      </c>
    </row>
    <row r="70" spans="1:37" ht="12.75">
      <c r="A70" s="5">
        <v>34</v>
      </c>
      <c r="B70" s="4">
        <v>16.7</v>
      </c>
      <c r="F70" s="11">
        <v>0.00268518518518563</v>
      </c>
      <c r="J70" s="12">
        <v>17.4</v>
      </c>
      <c r="P70" s="5">
        <v>34</v>
      </c>
      <c r="Q70" s="5">
        <v>67</v>
      </c>
      <c r="R70" s="12">
        <v>1.31</v>
      </c>
      <c r="S70" s="12">
        <v>3.86999999999999</v>
      </c>
      <c r="V70" s="12">
        <v>7.6</v>
      </c>
      <c r="X70" s="12">
        <v>20.5</v>
      </c>
      <c r="AC70" s="5">
        <v>67</v>
      </c>
      <c r="AH70" s="4">
        <v>15.1</v>
      </c>
      <c r="AI70" s="167">
        <v>391</v>
      </c>
      <c r="AJ70" s="4">
        <v>15.7</v>
      </c>
      <c r="AK70" s="167">
        <v>422</v>
      </c>
    </row>
    <row r="71" spans="1:37" ht="12.75">
      <c r="A71" s="5">
        <v>33</v>
      </c>
      <c r="B71" s="4">
        <v>16.8</v>
      </c>
      <c r="F71" s="11">
        <v>0.00270833333333379</v>
      </c>
      <c r="J71" s="12">
        <v>17.5</v>
      </c>
      <c r="P71" s="5">
        <v>33</v>
      </c>
      <c r="Q71" s="5">
        <v>68</v>
      </c>
      <c r="R71" s="12">
        <v>1.32</v>
      </c>
      <c r="S71" s="12">
        <v>3.89999999999999</v>
      </c>
      <c r="V71" s="12">
        <v>7.7</v>
      </c>
      <c r="X71" s="12">
        <v>20.75</v>
      </c>
      <c r="AC71" s="5">
        <v>68</v>
      </c>
      <c r="AH71" s="4">
        <v>15.2</v>
      </c>
      <c r="AI71" s="167">
        <v>384</v>
      </c>
      <c r="AJ71" s="4">
        <v>15.8</v>
      </c>
      <c r="AK71" s="167">
        <v>414</v>
      </c>
    </row>
    <row r="72" spans="1:37" ht="12.75">
      <c r="A72" s="5">
        <v>32</v>
      </c>
      <c r="B72" s="4">
        <v>16.9</v>
      </c>
      <c r="F72" s="11">
        <v>0.00273148148148195</v>
      </c>
      <c r="J72" s="12">
        <v>17.6</v>
      </c>
      <c r="P72" s="5">
        <v>32</v>
      </c>
      <c r="Q72" s="5">
        <v>69</v>
      </c>
      <c r="R72" s="12">
        <v>1.33</v>
      </c>
      <c r="S72" s="12">
        <v>3.92999999999999</v>
      </c>
      <c r="V72" s="12">
        <v>7.80000000000001</v>
      </c>
      <c r="X72" s="12">
        <v>21</v>
      </c>
      <c r="AC72" s="5">
        <v>69</v>
      </c>
      <c r="AH72" s="4">
        <v>15.3</v>
      </c>
      <c r="AI72" s="167">
        <v>376</v>
      </c>
      <c r="AJ72" s="4">
        <v>15.9</v>
      </c>
      <c r="AK72" s="167">
        <v>406</v>
      </c>
    </row>
    <row r="73" spans="1:37" ht="12.75">
      <c r="A73" s="5">
        <v>31</v>
      </c>
      <c r="B73" s="4">
        <v>17</v>
      </c>
      <c r="F73" s="11">
        <v>0.00275462962963011</v>
      </c>
      <c r="J73" s="12">
        <v>17.7</v>
      </c>
      <c r="P73" s="5">
        <v>31</v>
      </c>
      <c r="Q73" s="5">
        <v>70</v>
      </c>
      <c r="R73" s="12">
        <v>1.34</v>
      </c>
      <c r="S73" s="12">
        <v>3.97</v>
      </c>
      <c r="V73" s="12">
        <v>7.90000000000001</v>
      </c>
      <c r="X73" s="12">
        <v>22</v>
      </c>
      <c r="AC73" s="5">
        <v>70</v>
      </c>
      <c r="AH73" s="4">
        <v>15.4</v>
      </c>
      <c r="AI73" s="167">
        <v>369</v>
      </c>
      <c r="AJ73" s="4">
        <v>16</v>
      </c>
      <c r="AK73" s="167">
        <v>399</v>
      </c>
    </row>
    <row r="74" spans="1:37" ht="12.75">
      <c r="A74" s="5">
        <v>30</v>
      </c>
      <c r="B74" s="4">
        <v>17.1</v>
      </c>
      <c r="F74" s="11">
        <v>0.00277777777777827</v>
      </c>
      <c r="J74" s="12">
        <v>17.8</v>
      </c>
      <c r="P74" s="5">
        <v>30</v>
      </c>
      <c r="Q74" s="5">
        <v>71</v>
      </c>
      <c r="R74" s="12">
        <v>1.35</v>
      </c>
      <c r="S74" s="12">
        <v>4</v>
      </c>
      <c r="V74" s="12">
        <v>8.00000000000001</v>
      </c>
      <c r="X74" s="12">
        <v>23</v>
      </c>
      <c r="AC74" s="5">
        <v>71</v>
      </c>
      <c r="AH74" s="4">
        <v>15.5</v>
      </c>
      <c r="AI74" s="167">
        <v>362</v>
      </c>
      <c r="AJ74" s="4">
        <v>16.1</v>
      </c>
      <c r="AK74" s="167">
        <v>391</v>
      </c>
    </row>
    <row r="75" spans="1:37" ht="12.75">
      <c r="A75" s="5">
        <v>29</v>
      </c>
      <c r="B75" s="4">
        <v>17.2</v>
      </c>
      <c r="F75" s="11">
        <v>0.00280092592592643</v>
      </c>
      <c r="J75" s="12">
        <v>17.9</v>
      </c>
      <c r="P75" s="5">
        <v>29</v>
      </c>
      <c r="Q75" s="5">
        <v>72</v>
      </c>
      <c r="R75" s="12">
        <v>1.36</v>
      </c>
      <c r="S75" s="12">
        <v>4.1</v>
      </c>
      <c r="V75" s="12">
        <v>8.2</v>
      </c>
      <c r="X75" s="12">
        <v>24</v>
      </c>
      <c r="AC75" s="5">
        <v>72</v>
      </c>
      <c r="AH75" s="4">
        <v>15.6</v>
      </c>
      <c r="AI75" s="167">
        <v>355</v>
      </c>
      <c r="AJ75" s="4">
        <v>16.2</v>
      </c>
      <c r="AK75" s="167">
        <v>384</v>
      </c>
    </row>
    <row r="76" spans="1:37" ht="12.75">
      <c r="A76" s="5">
        <v>28</v>
      </c>
      <c r="B76" s="4">
        <v>17.3</v>
      </c>
      <c r="F76" s="11">
        <v>0.00282407407407459</v>
      </c>
      <c r="J76" s="12">
        <v>18</v>
      </c>
      <c r="P76" s="5">
        <v>28</v>
      </c>
      <c r="Q76" s="5">
        <v>73</v>
      </c>
      <c r="R76" s="12">
        <v>1.37</v>
      </c>
      <c r="S76" s="12">
        <v>4.2</v>
      </c>
      <c r="V76" s="12">
        <v>8.39999999999999</v>
      </c>
      <c r="X76" s="12">
        <v>25</v>
      </c>
      <c r="AC76" s="5">
        <v>73</v>
      </c>
      <c r="AH76" s="4">
        <v>15.7</v>
      </c>
      <c r="AI76" s="167">
        <v>348</v>
      </c>
      <c r="AJ76" s="4">
        <v>16.3</v>
      </c>
      <c r="AK76" s="167">
        <v>376</v>
      </c>
    </row>
    <row r="77" spans="1:37" ht="12.75">
      <c r="A77" s="5">
        <v>27</v>
      </c>
      <c r="B77" s="4">
        <v>17.4</v>
      </c>
      <c r="F77" s="11">
        <v>0.00284722222222275</v>
      </c>
      <c r="J77" s="12">
        <v>18.1</v>
      </c>
      <c r="P77" s="5">
        <v>27</v>
      </c>
      <c r="Q77" s="5">
        <v>74</v>
      </c>
      <c r="R77" s="12">
        <v>1.38</v>
      </c>
      <c r="S77" s="12">
        <v>4.3</v>
      </c>
      <c r="V77" s="12">
        <v>8.59999999999998</v>
      </c>
      <c r="X77" s="12">
        <v>26</v>
      </c>
      <c r="AC77" s="5">
        <v>74</v>
      </c>
      <c r="AH77" s="4">
        <v>15.8</v>
      </c>
      <c r="AI77" s="167">
        <v>341</v>
      </c>
      <c r="AJ77" s="4">
        <v>16.4</v>
      </c>
      <c r="AK77" s="167">
        <v>369</v>
      </c>
    </row>
    <row r="78" spans="1:37" ht="12.75">
      <c r="A78" s="5">
        <v>26</v>
      </c>
      <c r="B78" s="4">
        <v>17.5</v>
      </c>
      <c r="F78" s="11">
        <v>0.0028703703703709</v>
      </c>
      <c r="J78" s="12">
        <v>18.2</v>
      </c>
      <c r="P78" s="5">
        <v>26</v>
      </c>
      <c r="Q78" s="5">
        <v>75</v>
      </c>
      <c r="R78" s="12">
        <v>1.39</v>
      </c>
      <c r="S78" s="12">
        <v>4.4</v>
      </c>
      <c r="V78" s="12">
        <v>8.79999999999997</v>
      </c>
      <c r="X78" s="12">
        <v>27</v>
      </c>
      <c r="AC78" s="5">
        <v>75</v>
      </c>
      <c r="AH78" s="4">
        <v>15.9</v>
      </c>
      <c r="AI78" s="167">
        <v>334</v>
      </c>
      <c r="AJ78" s="4">
        <v>16.5</v>
      </c>
      <c r="AK78" s="167">
        <v>362</v>
      </c>
    </row>
    <row r="79" spans="1:37" ht="12.75">
      <c r="A79" s="5">
        <v>25</v>
      </c>
      <c r="B79" s="4">
        <v>17.6</v>
      </c>
      <c r="F79" s="11">
        <v>0.00289351851851906</v>
      </c>
      <c r="J79" s="12">
        <v>18.3</v>
      </c>
      <c r="P79" s="5">
        <v>25</v>
      </c>
      <c r="Q79" s="5">
        <v>76</v>
      </c>
      <c r="R79" s="12">
        <v>1.4</v>
      </c>
      <c r="S79" s="12">
        <v>4.5</v>
      </c>
      <c r="V79" s="12">
        <v>8.99999999999995</v>
      </c>
      <c r="X79" s="12">
        <v>28</v>
      </c>
      <c r="AC79" s="5">
        <v>76</v>
      </c>
      <c r="AH79" s="4">
        <v>16</v>
      </c>
      <c r="AI79" s="167">
        <v>327</v>
      </c>
      <c r="AJ79" s="4">
        <v>16.6</v>
      </c>
      <c r="AK79" s="167">
        <v>355</v>
      </c>
    </row>
    <row r="80" spans="1:37" ht="12.75">
      <c r="A80" s="5">
        <v>24</v>
      </c>
      <c r="B80" s="4">
        <v>17.7</v>
      </c>
      <c r="F80" s="11">
        <v>0.00291666666666722</v>
      </c>
      <c r="J80" s="12">
        <v>18.4</v>
      </c>
      <c r="P80" s="5">
        <v>24</v>
      </c>
      <c r="Q80" s="5">
        <v>77</v>
      </c>
      <c r="R80" s="12">
        <v>1.42</v>
      </c>
      <c r="S80" s="12">
        <v>4.6</v>
      </c>
      <c r="V80" s="12">
        <v>9.19999999999994</v>
      </c>
      <c r="X80" s="12">
        <v>29</v>
      </c>
      <c r="AC80" s="5">
        <v>77</v>
      </c>
      <c r="AH80" s="4">
        <v>16.1</v>
      </c>
      <c r="AI80" s="167">
        <v>320</v>
      </c>
      <c r="AJ80" s="4">
        <v>16.7</v>
      </c>
      <c r="AK80" s="167">
        <v>348</v>
      </c>
    </row>
    <row r="81" spans="1:37" ht="12.75">
      <c r="A81" s="5">
        <v>23</v>
      </c>
      <c r="B81" s="4">
        <v>17.8</v>
      </c>
      <c r="F81" s="11">
        <v>0.00293981481481538</v>
      </c>
      <c r="J81" s="12">
        <v>18.5</v>
      </c>
      <c r="P81" s="5">
        <v>23</v>
      </c>
      <c r="Q81" s="5">
        <v>78</v>
      </c>
      <c r="R81" s="12">
        <v>1.44</v>
      </c>
      <c r="S81" s="12">
        <v>4.7</v>
      </c>
      <c r="V81" s="12">
        <v>9.39999999999993</v>
      </c>
      <c r="X81" s="12">
        <v>30</v>
      </c>
      <c r="AC81" s="5">
        <v>78</v>
      </c>
      <c r="AH81" s="4">
        <v>16.2</v>
      </c>
      <c r="AI81" s="167">
        <v>314</v>
      </c>
      <c r="AJ81" s="4">
        <v>16.8</v>
      </c>
      <c r="AK81" s="167">
        <v>341</v>
      </c>
    </row>
    <row r="82" spans="1:37" ht="12.75">
      <c r="A82" s="5">
        <v>22</v>
      </c>
      <c r="B82" s="4">
        <v>17.9</v>
      </c>
      <c r="F82" s="11">
        <v>0.00296296296296354</v>
      </c>
      <c r="J82" s="12">
        <v>18.6</v>
      </c>
      <c r="P82" s="5">
        <v>22</v>
      </c>
      <c r="Q82" s="5">
        <v>79</v>
      </c>
      <c r="R82" s="12">
        <v>1.46</v>
      </c>
      <c r="S82" s="12">
        <v>4.8</v>
      </c>
      <c r="V82" s="12">
        <v>9.59999999999992</v>
      </c>
      <c r="X82" s="12">
        <v>31</v>
      </c>
      <c r="AC82" s="5">
        <v>79</v>
      </c>
      <c r="AH82" s="4">
        <v>16.3</v>
      </c>
      <c r="AI82" s="167">
        <v>307</v>
      </c>
      <c r="AJ82" s="4">
        <v>16.9</v>
      </c>
      <c r="AK82" s="167">
        <v>334</v>
      </c>
    </row>
    <row r="83" spans="1:37" ht="12.75">
      <c r="A83" s="5">
        <v>21</v>
      </c>
      <c r="B83" s="4">
        <v>18</v>
      </c>
      <c r="F83" s="11">
        <v>0.0029861111111117</v>
      </c>
      <c r="J83" s="12">
        <v>18.7</v>
      </c>
      <c r="P83" s="5">
        <v>21</v>
      </c>
      <c r="Q83" s="5">
        <v>80</v>
      </c>
      <c r="R83" s="12">
        <v>1.48</v>
      </c>
      <c r="S83" s="12">
        <v>4.9</v>
      </c>
      <c r="V83" s="12">
        <v>9.79999999999991</v>
      </c>
      <c r="X83" s="12">
        <v>32</v>
      </c>
      <c r="AC83" s="5">
        <v>80</v>
      </c>
      <c r="AH83" s="4">
        <v>16.4</v>
      </c>
      <c r="AI83" s="167">
        <v>301</v>
      </c>
      <c r="AJ83" s="4">
        <v>17</v>
      </c>
      <c r="AK83" s="167">
        <v>327</v>
      </c>
    </row>
    <row r="84" spans="1:37" ht="12.75">
      <c r="A84" s="5">
        <v>20</v>
      </c>
      <c r="B84" s="4">
        <v>18.1</v>
      </c>
      <c r="F84" s="11">
        <v>0.00300925925925986</v>
      </c>
      <c r="J84" s="12">
        <v>18.8</v>
      </c>
      <c r="P84" s="5">
        <v>20</v>
      </c>
      <c r="Q84" s="5">
        <v>81</v>
      </c>
      <c r="R84" s="12">
        <v>1.5</v>
      </c>
      <c r="S84" s="12">
        <v>5</v>
      </c>
      <c r="V84" s="12">
        <v>9.9999999999999</v>
      </c>
      <c r="X84" s="12">
        <v>33</v>
      </c>
      <c r="AC84" s="5">
        <v>81</v>
      </c>
      <c r="AH84" s="4">
        <v>16.5</v>
      </c>
      <c r="AI84" s="167">
        <v>294</v>
      </c>
      <c r="AJ84" s="4">
        <v>17.1</v>
      </c>
      <c r="AK84" s="167">
        <v>320</v>
      </c>
    </row>
    <row r="85" spans="1:37" ht="12.75">
      <c r="A85" s="5">
        <v>19</v>
      </c>
      <c r="B85" s="4">
        <v>18.2</v>
      </c>
      <c r="F85" s="11">
        <v>0.00303240740740802</v>
      </c>
      <c r="J85" s="12">
        <v>18.9</v>
      </c>
      <c r="P85" s="5">
        <v>19</v>
      </c>
      <c r="Q85" s="5">
        <v>82</v>
      </c>
      <c r="R85" s="12">
        <v>1.52</v>
      </c>
      <c r="S85" s="12">
        <v>5.05</v>
      </c>
      <c r="V85" s="12">
        <v>10.1999999999999</v>
      </c>
      <c r="X85" s="12">
        <v>34</v>
      </c>
      <c r="AC85" s="5">
        <v>82</v>
      </c>
      <c r="AH85" s="4">
        <v>16.6</v>
      </c>
      <c r="AI85" s="167">
        <v>288</v>
      </c>
      <c r="AJ85" s="4">
        <v>17.2</v>
      </c>
      <c r="AK85" s="167">
        <v>314</v>
      </c>
    </row>
    <row r="86" spans="1:37" ht="12.75">
      <c r="A86" s="5">
        <v>18</v>
      </c>
      <c r="B86" s="4">
        <v>18.3</v>
      </c>
      <c r="F86" s="11">
        <v>0.00305555555555618</v>
      </c>
      <c r="J86" s="12">
        <v>19</v>
      </c>
      <c r="P86" s="5">
        <v>18</v>
      </c>
      <c r="Q86" s="5">
        <v>83</v>
      </c>
      <c r="R86" s="12">
        <v>1.54</v>
      </c>
      <c r="S86" s="12">
        <v>5.1</v>
      </c>
      <c r="V86" s="12">
        <v>10.3999999999999</v>
      </c>
      <c r="X86" s="12">
        <v>35</v>
      </c>
      <c r="AC86" s="5">
        <v>83</v>
      </c>
      <c r="AH86" s="4">
        <v>16.7</v>
      </c>
      <c r="AI86" s="167">
        <v>282</v>
      </c>
      <c r="AJ86" s="4">
        <v>17.3</v>
      </c>
      <c r="AK86" s="167">
        <v>307</v>
      </c>
    </row>
    <row r="87" spans="1:37" ht="12.75">
      <c r="A87" s="5">
        <v>17</v>
      </c>
      <c r="B87" s="4">
        <v>18.4</v>
      </c>
      <c r="F87" s="11">
        <v>0.00307870370370434</v>
      </c>
      <c r="J87" s="12">
        <v>19.1</v>
      </c>
      <c r="P87" s="5">
        <v>17</v>
      </c>
      <c r="Q87" s="5">
        <v>84</v>
      </c>
      <c r="R87" s="12">
        <v>1.56</v>
      </c>
      <c r="S87" s="12">
        <v>5.15</v>
      </c>
      <c r="V87" s="12">
        <v>10.5999999999999</v>
      </c>
      <c r="X87" s="12">
        <v>36</v>
      </c>
      <c r="AC87" s="5">
        <v>84</v>
      </c>
      <c r="AH87" s="4">
        <v>16.8</v>
      </c>
      <c r="AI87" s="167">
        <v>275</v>
      </c>
      <c r="AJ87" s="4">
        <v>17.4</v>
      </c>
      <c r="AK87" s="167">
        <v>301</v>
      </c>
    </row>
    <row r="88" spans="1:37" ht="12.75">
      <c r="A88" s="5">
        <v>16</v>
      </c>
      <c r="B88" s="4">
        <v>18.5</v>
      </c>
      <c r="F88" s="11">
        <v>0.0031018518518525</v>
      </c>
      <c r="J88" s="12">
        <v>19.2</v>
      </c>
      <c r="P88" s="5">
        <v>16</v>
      </c>
      <c r="Q88" s="5">
        <v>85</v>
      </c>
      <c r="R88" s="12">
        <v>1.58</v>
      </c>
      <c r="S88" s="12">
        <v>5.2</v>
      </c>
      <c r="V88" s="12">
        <v>10.7999999999999</v>
      </c>
      <c r="X88" s="12">
        <v>37</v>
      </c>
      <c r="AC88" s="5">
        <v>85</v>
      </c>
      <c r="AH88" s="4">
        <v>16.9</v>
      </c>
      <c r="AI88" s="167">
        <v>269</v>
      </c>
      <c r="AJ88" s="4">
        <v>17.5</v>
      </c>
      <c r="AK88" s="167">
        <v>294</v>
      </c>
    </row>
    <row r="89" spans="1:37" ht="12.75">
      <c r="A89" s="5">
        <v>15</v>
      </c>
      <c r="B89" s="4">
        <v>18.6000000000001</v>
      </c>
      <c r="F89" s="11">
        <v>0.00312500000000066</v>
      </c>
      <c r="J89" s="12">
        <v>19.3</v>
      </c>
      <c r="P89" s="5">
        <v>15</v>
      </c>
      <c r="Q89" s="5">
        <v>86</v>
      </c>
      <c r="R89" s="12">
        <v>1.6</v>
      </c>
      <c r="S89" s="12">
        <v>5.25</v>
      </c>
      <c r="V89" s="12">
        <v>10.9999999999998</v>
      </c>
      <c r="X89" s="12">
        <v>38</v>
      </c>
      <c r="AC89" s="5">
        <v>86</v>
      </c>
      <c r="AH89" s="4">
        <v>17</v>
      </c>
      <c r="AI89" s="167">
        <v>263</v>
      </c>
      <c r="AJ89" s="4">
        <v>17.6</v>
      </c>
      <c r="AK89" s="167">
        <v>288</v>
      </c>
    </row>
    <row r="90" spans="1:37" ht="12.75">
      <c r="A90" s="5">
        <v>14</v>
      </c>
      <c r="B90" s="4">
        <v>18.7</v>
      </c>
      <c r="F90" s="11">
        <v>0.00314814814814882</v>
      </c>
      <c r="J90" s="12">
        <v>19.4</v>
      </c>
      <c r="P90" s="5">
        <v>14</v>
      </c>
      <c r="Q90" s="5">
        <v>87</v>
      </c>
      <c r="R90" s="12">
        <v>1.62</v>
      </c>
      <c r="S90" s="12">
        <v>5.3</v>
      </c>
      <c r="V90" s="12">
        <v>11.1999999999998</v>
      </c>
      <c r="X90" s="12">
        <v>39</v>
      </c>
      <c r="AC90" s="5">
        <v>87</v>
      </c>
      <c r="AH90" s="4">
        <v>17.1</v>
      </c>
      <c r="AI90" s="167">
        <v>257</v>
      </c>
      <c r="AJ90" s="4">
        <v>17.7</v>
      </c>
      <c r="AK90" s="167">
        <v>282</v>
      </c>
    </row>
    <row r="91" spans="1:37" ht="12.75">
      <c r="A91" s="5">
        <v>13</v>
      </c>
      <c r="B91" s="4">
        <v>18.8000000000001</v>
      </c>
      <c r="F91" s="11">
        <v>0.00317129629629698</v>
      </c>
      <c r="J91" s="12">
        <v>19.5</v>
      </c>
      <c r="P91" s="5">
        <v>13</v>
      </c>
      <c r="Q91" s="5">
        <v>88</v>
      </c>
      <c r="R91" s="12">
        <v>1.64</v>
      </c>
      <c r="S91" s="12">
        <v>5.35</v>
      </c>
      <c r="V91" s="12">
        <v>11.3999999999998</v>
      </c>
      <c r="X91" s="12">
        <v>40</v>
      </c>
      <c r="AC91" s="5">
        <v>88</v>
      </c>
      <c r="AH91" s="4">
        <v>17.2</v>
      </c>
      <c r="AI91" s="167">
        <v>251</v>
      </c>
      <c r="AJ91" s="4">
        <v>17.8</v>
      </c>
      <c r="AK91" s="167">
        <v>275</v>
      </c>
    </row>
    <row r="92" spans="1:37" ht="12.75">
      <c r="A92" s="5">
        <v>12</v>
      </c>
      <c r="B92" s="4">
        <v>18.9</v>
      </c>
      <c r="F92" s="11">
        <v>0.00319444444444513</v>
      </c>
      <c r="J92" s="12">
        <v>19.6</v>
      </c>
      <c r="P92" s="5">
        <v>12</v>
      </c>
      <c r="Q92" s="5">
        <v>89</v>
      </c>
      <c r="R92" s="12">
        <v>1.66</v>
      </c>
      <c r="S92" s="12">
        <v>5.4</v>
      </c>
      <c r="V92" s="12">
        <v>11.5999999999998</v>
      </c>
      <c r="X92" s="12">
        <v>41</v>
      </c>
      <c r="AC92" s="5">
        <v>89</v>
      </c>
      <c r="AH92" s="4">
        <v>17.3</v>
      </c>
      <c r="AI92" s="167">
        <v>246</v>
      </c>
      <c r="AJ92" s="4">
        <v>17.9</v>
      </c>
      <c r="AK92" s="167">
        <v>269</v>
      </c>
    </row>
    <row r="93" spans="1:37" ht="12.75">
      <c r="A93" s="5">
        <v>11</v>
      </c>
      <c r="B93" s="4">
        <v>19</v>
      </c>
      <c r="F93" s="11">
        <v>0.00321759259259329</v>
      </c>
      <c r="J93" s="12">
        <v>19.7</v>
      </c>
      <c r="P93" s="5">
        <v>11</v>
      </c>
      <c r="Q93" s="5">
        <v>90</v>
      </c>
      <c r="R93" s="12">
        <v>1.68</v>
      </c>
      <c r="S93" s="12">
        <v>5.5</v>
      </c>
      <c r="V93" s="12">
        <v>11.7999999999998</v>
      </c>
      <c r="X93" s="12">
        <v>42</v>
      </c>
      <c r="AC93" s="5">
        <v>90</v>
      </c>
      <c r="AH93" s="4">
        <v>17.4</v>
      </c>
      <c r="AI93" s="167">
        <v>240</v>
      </c>
      <c r="AJ93" s="4">
        <v>18</v>
      </c>
      <c r="AK93" s="167">
        <v>263</v>
      </c>
    </row>
    <row r="94" spans="1:37" ht="12.75">
      <c r="A94" s="5">
        <v>10</v>
      </c>
      <c r="B94" s="4">
        <v>19.2</v>
      </c>
      <c r="F94" s="11">
        <v>0.00324074074074145</v>
      </c>
      <c r="J94" s="12">
        <v>19.8</v>
      </c>
      <c r="P94" s="5">
        <v>10</v>
      </c>
      <c r="Q94" s="5">
        <v>91</v>
      </c>
      <c r="R94" s="12">
        <v>1.7</v>
      </c>
      <c r="S94" s="12">
        <v>5.6</v>
      </c>
      <c r="V94" s="12">
        <v>11.9999999999998</v>
      </c>
      <c r="X94" s="12">
        <v>43</v>
      </c>
      <c r="AC94" s="5">
        <v>91</v>
      </c>
      <c r="AH94" s="4">
        <v>17.5</v>
      </c>
      <c r="AI94" s="167">
        <v>234</v>
      </c>
      <c r="AJ94" s="4">
        <v>18.1</v>
      </c>
      <c r="AK94" s="167">
        <v>257</v>
      </c>
    </row>
    <row r="95" spans="1:37" ht="12.75">
      <c r="A95" s="5">
        <v>9</v>
      </c>
      <c r="B95" s="4">
        <v>19.4</v>
      </c>
      <c r="F95" s="11">
        <v>0.00326388888888961</v>
      </c>
      <c r="J95" s="12">
        <v>19.9</v>
      </c>
      <c r="P95" s="5">
        <v>9</v>
      </c>
      <c r="Q95" s="5">
        <v>92</v>
      </c>
      <c r="R95" s="12">
        <v>1.72</v>
      </c>
      <c r="S95" s="12">
        <v>5.7</v>
      </c>
      <c r="V95" s="12">
        <v>12.1999999999998</v>
      </c>
      <c r="X95" s="12">
        <v>44</v>
      </c>
      <c r="AC95" s="5">
        <v>92</v>
      </c>
      <c r="AH95" s="4">
        <v>17.6</v>
      </c>
      <c r="AI95" s="167">
        <v>228</v>
      </c>
      <c r="AJ95" s="4">
        <v>18.2</v>
      </c>
      <c r="AK95" s="167">
        <v>251</v>
      </c>
    </row>
    <row r="96" spans="1:37" ht="12.75">
      <c r="A96" s="5">
        <v>8</v>
      </c>
      <c r="B96" s="4">
        <v>19.6</v>
      </c>
      <c r="F96" s="11">
        <v>0.00328703703703777</v>
      </c>
      <c r="J96" s="12">
        <v>20</v>
      </c>
      <c r="P96" s="5">
        <v>8</v>
      </c>
      <c r="Q96" s="5">
        <v>93</v>
      </c>
      <c r="R96" s="12">
        <v>1.74</v>
      </c>
      <c r="S96" s="12">
        <v>5.8</v>
      </c>
      <c r="V96" s="12">
        <v>12.3999999999998</v>
      </c>
      <c r="X96" s="12">
        <v>45</v>
      </c>
      <c r="AC96" s="5">
        <v>93</v>
      </c>
      <c r="AH96" s="4">
        <v>17.7</v>
      </c>
      <c r="AI96" s="167">
        <v>223</v>
      </c>
      <c r="AJ96" s="4">
        <v>18.3</v>
      </c>
      <c r="AK96" s="167">
        <v>246</v>
      </c>
    </row>
    <row r="97" spans="1:37" ht="12.75">
      <c r="A97" s="5">
        <v>7</v>
      </c>
      <c r="B97" s="4">
        <v>19.8</v>
      </c>
      <c r="F97" s="11">
        <v>0.00331018518518593</v>
      </c>
      <c r="J97" s="12">
        <v>20.1</v>
      </c>
      <c r="P97" s="5">
        <v>7</v>
      </c>
      <c r="Q97" s="5">
        <v>94</v>
      </c>
      <c r="R97" s="12">
        <v>1.76</v>
      </c>
      <c r="S97" s="12">
        <v>5.9</v>
      </c>
      <c r="V97" s="12">
        <v>12.5999999999998</v>
      </c>
      <c r="X97" s="12">
        <v>46</v>
      </c>
      <c r="AC97" s="5">
        <v>94</v>
      </c>
      <c r="AH97" s="4">
        <v>17.8</v>
      </c>
      <c r="AI97" s="167">
        <v>217</v>
      </c>
      <c r="AJ97" s="4">
        <v>18.4</v>
      </c>
      <c r="AK97" s="167">
        <v>240</v>
      </c>
    </row>
    <row r="98" spans="1:37" ht="12.75">
      <c r="A98" s="5">
        <v>6</v>
      </c>
      <c r="B98" s="4">
        <v>20</v>
      </c>
      <c r="F98" s="11">
        <v>0.00333333333333409</v>
      </c>
      <c r="J98" s="12">
        <v>20.2</v>
      </c>
      <c r="P98" s="5">
        <v>6</v>
      </c>
      <c r="Q98" s="5">
        <v>95</v>
      </c>
      <c r="R98" s="12">
        <v>1.78</v>
      </c>
      <c r="S98" s="12">
        <v>6</v>
      </c>
      <c r="V98" s="12">
        <v>12.7999999999997</v>
      </c>
      <c r="X98" s="12">
        <v>47</v>
      </c>
      <c r="AC98" s="5">
        <v>95</v>
      </c>
      <c r="AH98" s="4">
        <v>17.9</v>
      </c>
      <c r="AI98" s="167">
        <v>212</v>
      </c>
      <c r="AJ98" s="4">
        <v>18.5</v>
      </c>
      <c r="AK98" s="167">
        <v>234</v>
      </c>
    </row>
    <row r="99" spans="1:37" ht="12.75">
      <c r="A99" s="5">
        <v>5</v>
      </c>
      <c r="B99" s="4">
        <v>20.2</v>
      </c>
      <c r="F99" s="11">
        <v>0.00335648148148225</v>
      </c>
      <c r="J99" s="12">
        <v>20.3</v>
      </c>
      <c r="P99" s="5">
        <v>5</v>
      </c>
      <c r="Q99" s="5">
        <v>96</v>
      </c>
      <c r="R99" s="12">
        <v>1.8</v>
      </c>
      <c r="S99" s="12">
        <v>6.1</v>
      </c>
      <c r="V99" s="12">
        <v>12.9999999999997</v>
      </c>
      <c r="X99" s="12">
        <v>48</v>
      </c>
      <c r="AC99" s="5">
        <v>96</v>
      </c>
      <c r="AH99" s="4">
        <v>18</v>
      </c>
      <c r="AI99" s="167">
        <v>206</v>
      </c>
      <c r="AJ99" s="4">
        <v>18.6</v>
      </c>
      <c r="AK99" s="167">
        <v>228</v>
      </c>
    </row>
    <row r="100" spans="1:37" ht="12.75">
      <c r="A100" s="5">
        <v>4</v>
      </c>
      <c r="B100" s="4">
        <v>20.4</v>
      </c>
      <c r="F100" s="11">
        <v>0.00337962962963041</v>
      </c>
      <c r="J100" s="12">
        <v>20.4</v>
      </c>
      <c r="P100" s="5">
        <v>4</v>
      </c>
      <c r="Q100" s="5">
        <v>97</v>
      </c>
      <c r="R100" s="12">
        <v>1.82</v>
      </c>
      <c r="S100" s="12">
        <v>6.2</v>
      </c>
      <c r="V100" s="12">
        <v>13.1999999999997</v>
      </c>
      <c r="X100" s="12">
        <v>49</v>
      </c>
      <c r="AC100" s="5">
        <v>97</v>
      </c>
      <c r="AH100" s="4">
        <v>18.1</v>
      </c>
      <c r="AI100" s="167">
        <v>201</v>
      </c>
      <c r="AJ100" s="4">
        <v>18.7</v>
      </c>
      <c r="AK100" s="167">
        <v>223</v>
      </c>
    </row>
    <row r="101" spans="1:37" ht="12.75">
      <c r="A101" s="5">
        <v>3</v>
      </c>
      <c r="B101" s="4">
        <v>20.6</v>
      </c>
      <c r="F101" s="11">
        <v>0.00340277777777857</v>
      </c>
      <c r="J101" s="12">
        <v>20.5</v>
      </c>
      <c r="P101" s="5">
        <v>3</v>
      </c>
      <c r="Q101" s="5">
        <v>98</v>
      </c>
      <c r="R101" s="12">
        <v>1.84</v>
      </c>
      <c r="S101" s="12">
        <v>6.3</v>
      </c>
      <c r="V101" s="12">
        <v>13.3999999999997</v>
      </c>
      <c r="X101" s="12">
        <v>50</v>
      </c>
      <c r="AC101" s="5">
        <v>98</v>
      </c>
      <c r="AH101" s="4">
        <v>18.2</v>
      </c>
      <c r="AI101" s="167">
        <v>196</v>
      </c>
      <c r="AJ101" s="4">
        <v>18.8</v>
      </c>
      <c r="AK101" s="167">
        <v>217</v>
      </c>
    </row>
    <row r="102" spans="1:37" ht="12.75">
      <c r="A102" s="5">
        <v>2</v>
      </c>
      <c r="B102" s="4">
        <v>20.8</v>
      </c>
      <c r="F102" s="11">
        <v>0.00342592592592673</v>
      </c>
      <c r="J102" s="12">
        <v>20.6</v>
      </c>
      <c r="P102" s="5">
        <v>2</v>
      </c>
      <c r="Q102" s="5">
        <v>99</v>
      </c>
      <c r="R102" s="12">
        <v>1.86</v>
      </c>
      <c r="S102" s="12">
        <v>6.4</v>
      </c>
      <c r="V102" s="12">
        <v>13.5999999999997</v>
      </c>
      <c r="X102" s="12">
        <v>51</v>
      </c>
      <c r="AC102" s="5">
        <v>99</v>
      </c>
      <c r="AH102" s="4">
        <v>18.3</v>
      </c>
      <c r="AI102" s="167">
        <v>190</v>
      </c>
      <c r="AJ102" s="4">
        <v>18.9</v>
      </c>
      <c r="AK102" s="167">
        <v>212</v>
      </c>
    </row>
    <row r="103" spans="1:37" ht="12.75">
      <c r="A103" s="5">
        <v>1</v>
      </c>
      <c r="B103" s="4">
        <v>21</v>
      </c>
      <c r="F103" s="11">
        <v>0.00344907407407489</v>
      </c>
      <c r="J103" s="12">
        <v>20.7</v>
      </c>
      <c r="P103" s="5">
        <v>1</v>
      </c>
      <c r="Q103" s="5">
        <v>100</v>
      </c>
      <c r="R103" s="12">
        <v>1.88</v>
      </c>
      <c r="S103" s="12">
        <v>6.5</v>
      </c>
      <c r="V103" s="12">
        <v>13.7999999999997</v>
      </c>
      <c r="X103" s="12">
        <v>52</v>
      </c>
      <c r="AC103" s="5">
        <v>100</v>
      </c>
      <c r="AH103" s="4">
        <v>18.4</v>
      </c>
      <c r="AI103" s="167">
        <v>185</v>
      </c>
      <c r="AJ103" s="4">
        <v>19</v>
      </c>
      <c r="AK103" s="167">
        <v>206</v>
      </c>
    </row>
    <row r="104" spans="34:37" ht="12.75">
      <c r="AH104" s="4">
        <v>18.5</v>
      </c>
      <c r="AI104" s="167">
        <v>180</v>
      </c>
      <c r="AJ104" s="4">
        <v>19.1</v>
      </c>
      <c r="AK104" s="167">
        <v>201</v>
      </c>
    </row>
    <row r="105" spans="1:37" ht="12.75">
      <c r="A105" s="242" t="s">
        <v>40</v>
      </c>
      <c r="B105" s="243"/>
      <c r="C105" s="243"/>
      <c r="D105" s="243"/>
      <c r="E105" s="243"/>
      <c r="F105" s="244"/>
      <c r="H105" s="242" t="s">
        <v>51</v>
      </c>
      <c r="I105" s="243"/>
      <c r="J105" s="243"/>
      <c r="K105" s="243"/>
      <c r="L105" s="243"/>
      <c r="M105" s="244"/>
      <c r="AH105" s="4">
        <v>18.6</v>
      </c>
      <c r="AI105" s="167">
        <v>175</v>
      </c>
      <c r="AJ105" s="4">
        <v>19.2</v>
      </c>
      <c r="AK105" s="167">
        <v>196</v>
      </c>
    </row>
    <row r="106" spans="1:37" ht="12.75">
      <c r="A106" s="14"/>
      <c r="B106" s="17" t="s">
        <v>48</v>
      </c>
      <c r="C106" s="17" t="s">
        <v>7</v>
      </c>
      <c r="D106" s="17" t="s">
        <v>10</v>
      </c>
      <c r="E106" s="17" t="s">
        <v>8</v>
      </c>
      <c r="F106" s="18" t="s">
        <v>9</v>
      </c>
      <c r="H106" s="14"/>
      <c r="I106" s="17" t="s">
        <v>48</v>
      </c>
      <c r="J106" s="17" t="s">
        <v>7</v>
      </c>
      <c r="K106" s="17" t="s">
        <v>10</v>
      </c>
      <c r="L106" s="17" t="s">
        <v>8</v>
      </c>
      <c r="M106" s="18" t="s">
        <v>9</v>
      </c>
      <c r="AH106" s="4">
        <v>18.7</v>
      </c>
      <c r="AI106" s="167">
        <v>170</v>
      </c>
      <c r="AJ106" s="4">
        <v>19.3</v>
      </c>
      <c r="AK106" s="167">
        <v>190</v>
      </c>
    </row>
    <row r="107" spans="1:37" ht="12.75">
      <c r="A107" s="14" t="s">
        <v>41</v>
      </c>
      <c r="B107" s="19">
        <v>75</v>
      </c>
      <c r="C107" s="19">
        <v>125</v>
      </c>
      <c r="D107" s="19">
        <v>175</v>
      </c>
      <c r="E107" s="19">
        <v>210</v>
      </c>
      <c r="F107" s="20">
        <v>240</v>
      </c>
      <c r="H107" s="14" t="s">
        <v>41</v>
      </c>
      <c r="I107" s="19">
        <v>50</v>
      </c>
      <c r="J107" s="19">
        <v>90</v>
      </c>
      <c r="K107" s="19">
        <v>135</v>
      </c>
      <c r="L107" s="19">
        <v>170</v>
      </c>
      <c r="M107" s="20">
        <v>210</v>
      </c>
      <c r="AH107" s="4">
        <v>18.8</v>
      </c>
      <c r="AI107" s="167">
        <v>165</v>
      </c>
      <c r="AJ107" s="4">
        <v>19.4</v>
      </c>
      <c r="AK107" s="167">
        <v>185</v>
      </c>
    </row>
    <row r="108" spans="1:37" ht="12.75">
      <c r="A108" s="14" t="s">
        <v>42</v>
      </c>
      <c r="B108" s="19">
        <v>75</v>
      </c>
      <c r="C108" s="19">
        <v>115</v>
      </c>
      <c r="D108" s="19">
        <v>160</v>
      </c>
      <c r="E108" s="19">
        <v>195</v>
      </c>
      <c r="F108" s="20">
        <v>225</v>
      </c>
      <c r="H108" s="14" t="s">
        <v>42</v>
      </c>
      <c r="I108" s="19">
        <v>50</v>
      </c>
      <c r="J108" s="19">
        <v>85</v>
      </c>
      <c r="K108" s="19">
        <v>120</v>
      </c>
      <c r="L108" s="19">
        <v>155</v>
      </c>
      <c r="M108" s="20">
        <v>195</v>
      </c>
      <c r="AH108" s="4">
        <v>18.9</v>
      </c>
      <c r="AI108" s="167">
        <v>160</v>
      </c>
      <c r="AJ108" s="4">
        <v>19.5</v>
      </c>
      <c r="AK108" s="167">
        <v>180</v>
      </c>
    </row>
    <row r="109" spans="1:37" ht="12.75">
      <c r="A109" s="14" t="s">
        <v>43</v>
      </c>
      <c r="B109" s="19">
        <v>60</v>
      </c>
      <c r="C109" s="19">
        <v>100</v>
      </c>
      <c r="D109" s="19">
        <v>135</v>
      </c>
      <c r="E109" s="19">
        <v>170</v>
      </c>
      <c r="F109" s="20">
        <v>210</v>
      </c>
      <c r="H109" s="14" t="s">
        <v>43</v>
      </c>
      <c r="I109" s="19">
        <v>50</v>
      </c>
      <c r="J109" s="19">
        <v>80</v>
      </c>
      <c r="K109" s="19">
        <v>110</v>
      </c>
      <c r="L109" s="19">
        <v>140</v>
      </c>
      <c r="M109" s="20">
        <v>180</v>
      </c>
      <c r="AH109" s="4">
        <v>19</v>
      </c>
      <c r="AI109" s="167">
        <v>155</v>
      </c>
      <c r="AJ109" s="4">
        <v>19.6</v>
      </c>
      <c r="AK109" s="167">
        <v>175</v>
      </c>
    </row>
    <row r="110" spans="1:37" ht="12.75">
      <c r="A110" s="14" t="s">
        <v>44</v>
      </c>
      <c r="B110" s="19">
        <v>50</v>
      </c>
      <c r="C110" s="19">
        <v>85</v>
      </c>
      <c r="D110" s="19">
        <v>120</v>
      </c>
      <c r="E110" s="19">
        <v>155</v>
      </c>
      <c r="F110" s="20">
        <v>195</v>
      </c>
      <c r="H110" s="14" t="s">
        <v>44</v>
      </c>
      <c r="I110" s="19">
        <v>45</v>
      </c>
      <c r="J110" s="19">
        <v>75</v>
      </c>
      <c r="K110" s="19">
        <v>95</v>
      </c>
      <c r="L110" s="19">
        <v>125</v>
      </c>
      <c r="M110" s="20">
        <v>165</v>
      </c>
      <c r="AH110" s="4">
        <v>19.1</v>
      </c>
      <c r="AI110" s="167">
        <v>150</v>
      </c>
      <c r="AJ110" s="4">
        <v>19.7</v>
      </c>
      <c r="AK110" s="167">
        <v>170</v>
      </c>
    </row>
    <row r="111" spans="1:37" ht="12.75">
      <c r="A111" s="14" t="s">
        <v>45</v>
      </c>
      <c r="B111" s="19">
        <v>40</v>
      </c>
      <c r="C111" s="19">
        <v>70</v>
      </c>
      <c r="D111" s="19">
        <v>105</v>
      </c>
      <c r="E111" s="19">
        <v>135</v>
      </c>
      <c r="F111" s="20">
        <v>165</v>
      </c>
      <c r="H111" s="14" t="s">
        <v>45</v>
      </c>
      <c r="I111" s="19">
        <v>35</v>
      </c>
      <c r="J111" s="19">
        <v>60</v>
      </c>
      <c r="K111" s="19">
        <v>80</v>
      </c>
      <c r="L111" s="19">
        <v>110</v>
      </c>
      <c r="M111" s="20">
        <v>150</v>
      </c>
      <c r="AH111" s="4">
        <v>19.2</v>
      </c>
      <c r="AI111" s="167">
        <v>146</v>
      </c>
      <c r="AJ111" s="4">
        <v>19.8</v>
      </c>
      <c r="AK111" s="167">
        <v>165</v>
      </c>
    </row>
    <row r="112" spans="1:37" ht="12.75">
      <c r="A112" s="14" t="s">
        <v>46</v>
      </c>
      <c r="B112" s="19">
        <v>25</v>
      </c>
      <c r="C112" s="19">
        <v>55</v>
      </c>
      <c r="D112" s="19">
        <v>90</v>
      </c>
      <c r="E112" s="19">
        <v>120</v>
      </c>
      <c r="F112" s="20">
        <v>150</v>
      </c>
      <c r="H112" s="14" t="s">
        <v>46</v>
      </c>
      <c r="I112" s="19">
        <v>25</v>
      </c>
      <c r="J112" s="19">
        <v>45</v>
      </c>
      <c r="K112" s="19">
        <v>65</v>
      </c>
      <c r="L112" s="19">
        <v>95</v>
      </c>
      <c r="M112" s="20">
        <v>135</v>
      </c>
      <c r="AH112" s="4">
        <v>19.3</v>
      </c>
      <c r="AI112" s="167">
        <v>141</v>
      </c>
      <c r="AJ112" s="4">
        <v>19.9</v>
      </c>
      <c r="AK112" s="167">
        <v>160</v>
      </c>
    </row>
    <row r="113" spans="1:37" ht="12.75">
      <c r="A113" s="14" t="s">
        <v>47</v>
      </c>
      <c r="B113" s="19">
        <v>15</v>
      </c>
      <c r="C113" s="19">
        <v>40</v>
      </c>
      <c r="D113" s="19">
        <v>75</v>
      </c>
      <c r="E113" s="19">
        <v>105</v>
      </c>
      <c r="F113" s="20">
        <v>135</v>
      </c>
      <c r="H113" s="14" t="s">
        <v>47</v>
      </c>
      <c r="I113" s="19">
        <v>15</v>
      </c>
      <c r="J113" s="19">
        <v>30</v>
      </c>
      <c r="K113" s="19">
        <v>50</v>
      </c>
      <c r="L113" s="19">
        <v>80</v>
      </c>
      <c r="M113" s="20">
        <v>120</v>
      </c>
      <c r="AH113" s="4">
        <v>19.4</v>
      </c>
      <c r="AI113" s="167">
        <v>136</v>
      </c>
      <c r="AJ113" s="4">
        <v>20</v>
      </c>
      <c r="AK113" s="167">
        <v>155</v>
      </c>
    </row>
    <row r="114" spans="1:37" ht="12.75">
      <c r="A114" s="16"/>
      <c r="B114" s="21" t="s">
        <v>48</v>
      </c>
      <c r="C114" s="21" t="s">
        <v>7</v>
      </c>
      <c r="D114" s="21" t="s">
        <v>10</v>
      </c>
      <c r="E114" s="21" t="s">
        <v>8</v>
      </c>
      <c r="F114" s="22" t="s">
        <v>9</v>
      </c>
      <c r="H114" s="16"/>
      <c r="I114" s="21" t="s">
        <v>48</v>
      </c>
      <c r="J114" s="21" t="s">
        <v>7</v>
      </c>
      <c r="K114" s="21" t="s">
        <v>10</v>
      </c>
      <c r="L114" s="21" t="s">
        <v>8</v>
      </c>
      <c r="M114" s="22" t="s">
        <v>9</v>
      </c>
      <c r="AH114" s="4">
        <v>19.5</v>
      </c>
      <c r="AI114" s="167">
        <v>131</v>
      </c>
      <c r="AJ114" s="4">
        <v>20.1</v>
      </c>
      <c r="AK114" s="167">
        <v>150</v>
      </c>
    </row>
    <row r="115" spans="1:37" ht="12.75">
      <c r="A115" s="15"/>
      <c r="B115" s="19"/>
      <c r="C115" s="19"/>
      <c r="D115" s="19"/>
      <c r="E115" s="19"/>
      <c r="F115" s="19"/>
      <c r="AH115" s="4">
        <v>19.6</v>
      </c>
      <c r="AI115" s="167">
        <v>127</v>
      </c>
      <c r="AJ115" s="4">
        <v>20.2</v>
      </c>
      <c r="AK115" s="167">
        <v>146</v>
      </c>
    </row>
    <row r="116" spans="34:37" ht="12.75">
      <c r="AH116" s="4">
        <v>19.7</v>
      </c>
      <c r="AI116" s="167">
        <v>122</v>
      </c>
      <c r="AJ116" s="4">
        <v>20.3</v>
      </c>
      <c r="AK116" s="167">
        <v>141</v>
      </c>
    </row>
    <row r="117" spans="34:37" ht="12.75">
      <c r="AH117" s="4">
        <v>19.8</v>
      </c>
      <c r="AI117" s="167">
        <v>118</v>
      </c>
      <c r="AJ117" s="4">
        <v>20.4</v>
      </c>
      <c r="AK117" s="167">
        <v>136</v>
      </c>
    </row>
    <row r="118" spans="2:37" ht="12.75">
      <c r="B118" s="4">
        <v>120</v>
      </c>
      <c r="C118">
        <v>190</v>
      </c>
      <c r="D118">
        <v>265</v>
      </c>
      <c r="E118">
        <v>335</v>
      </c>
      <c r="F118" s="5">
        <v>385</v>
      </c>
      <c r="AH118" s="4">
        <v>19.9</v>
      </c>
      <c r="AI118" s="167">
        <v>113</v>
      </c>
      <c r="AJ118" s="4">
        <v>20.5</v>
      </c>
      <c r="AK118" s="167">
        <v>131</v>
      </c>
    </row>
    <row r="119" spans="2:37" ht="12.75">
      <c r="B119" s="4">
        <v>110</v>
      </c>
      <c r="AH119" s="4">
        <v>20</v>
      </c>
      <c r="AI119" s="167">
        <v>109</v>
      </c>
      <c r="AJ119" s="4">
        <v>20.6</v>
      </c>
      <c r="AK119" s="167">
        <v>127</v>
      </c>
    </row>
    <row r="120" spans="34:37" ht="12.75">
      <c r="AH120" s="4">
        <v>20.1</v>
      </c>
      <c r="AI120" s="167">
        <v>104</v>
      </c>
      <c r="AJ120" s="4">
        <v>20.7</v>
      </c>
      <c r="AK120" s="167">
        <v>122</v>
      </c>
    </row>
    <row r="121" spans="34:37" ht="12.75">
      <c r="AH121" s="4">
        <v>20.2</v>
      </c>
      <c r="AI121" s="167">
        <v>100</v>
      </c>
      <c r="AJ121" s="4">
        <v>20.8</v>
      </c>
      <c r="AK121" s="167">
        <v>118</v>
      </c>
    </row>
    <row r="122" spans="34:37" ht="13.5" thickBot="1">
      <c r="AH122" s="4">
        <v>20.3</v>
      </c>
      <c r="AI122" s="167">
        <v>96</v>
      </c>
      <c r="AJ122" s="4">
        <v>20.9</v>
      </c>
      <c r="AK122" s="167">
        <v>113</v>
      </c>
    </row>
    <row r="123" spans="1:37" ht="12.75">
      <c r="A123" t="s">
        <v>100</v>
      </c>
      <c r="B123"/>
      <c r="F123"/>
      <c r="H123" s="173" t="s">
        <v>170</v>
      </c>
      <c r="I123" s="174"/>
      <c r="J123" s="175" t="s">
        <v>171</v>
      </c>
      <c r="K123" s="175" t="s">
        <v>172</v>
      </c>
      <c r="L123" s="176" t="s">
        <v>91</v>
      </c>
      <c r="AH123" s="4">
        <v>20.4</v>
      </c>
      <c r="AI123" s="167">
        <v>92</v>
      </c>
      <c r="AJ123" s="4">
        <v>21</v>
      </c>
      <c r="AK123" s="167">
        <v>109</v>
      </c>
    </row>
    <row r="124" spans="1:37" ht="12.75">
      <c r="A124"/>
      <c r="B124"/>
      <c r="F124"/>
      <c r="H124" s="177"/>
      <c r="I124" s="178"/>
      <c r="J124" s="179"/>
      <c r="K124" s="179"/>
      <c r="L124" s="180"/>
      <c r="AH124" s="4">
        <v>20.5</v>
      </c>
      <c r="AI124" s="167">
        <v>87</v>
      </c>
      <c r="AJ124" s="4">
        <v>21.1</v>
      </c>
      <c r="AK124" s="167">
        <v>104</v>
      </c>
    </row>
    <row r="125" spans="1:37" ht="12.75">
      <c r="A125"/>
      <c r="B125" t="s">
        <v>101</v>
      </c>
      <c r="C125" t="s">
        <v>102</v>
      </c>
      <c r="D125" t="s">
        <v>103</v>
      </c>
      <c r="E125" t="s">
        <v>104</v>
      </c>
      <c r="F125" t="s">
        <v>105</v>
      </c>
      <c r="H125" s="181" t="s">
        <v>173</v>
      </c>
      <c r="I125" s="182"/>
      <c r="J125" s="179"/>
      <c r="K125" s="179"/>
      <c r="L125" s="180"/>
      <c r="AH125" s="4">
        <v>20.6</v>
      </c>
      <c r="AI125" s="167">
        <v>83</v>
      </c>
      <c r="AJ125" s="4">
        <v>21.2</v>
      </c>
      <c r="AK125" s="167">
        <v>100</v>
      </c>
    </row>
    <row r="126" spans="1:37" ht="12.75">
      <c r="A126"/>
      <c r="B126" t="s">
        <v>3</v>
      </c>
      <c r="C126" t="s">
        <v>106</v>
      </c>
      <c r="D126">
        <v>25.4347</v>
      </c>
      <c r="E126">
        <v>18</v>
      </c>
      <c r="F126">
        <v>1.81</v>
      </c>
      <c r="H126" s="183" t="s">
        <v>174</v>
      </c>
      <c r="I126" s="182"/>
      <c r="J126" s="189">
        <v>25.4347</v>
      </c>
      <c r="K126" s="179">
        <v>18</v>
      </c>
      <c r="L126" s="191">
        <v>1.81</v>
      </c>
      <c r="AH126" s="4">
        <v>20.7</v>
      </c>
      <c r="AI126" s="167">
        <v>79</v>
      </c>
      <c r="AJ126" s="4">
        <v>21.3</v>
      </c>
      <c r="AK126" s="167">
        <v>96</v>
      </c>
    </row>
    <row r="127" spans="1:37" ht="12.75">
      <c r="A127"/>
      <c r="B127" t="s">
        <v>107</v>
      </c>
      <c r="C127" t="s">
        <v>106</v>
      </c>
      <c r="D127">
        <v>5.74352</v>
      </c>
      <c r="E127">
        <v>28.5</v>
      </c>
      <c r="F127">
        <v>1.92</v>
      </c>
      <c r="H127" s="193" t="s">
        <v>179</v>
      </c>
      <c r="I127" s="194"/>
      <c r="J127" s="195">
        <v>7.237</v>
      </c>
      <c r="K127" s="196">
        <v>27</v>
      </c>
      <c r="L127" s="197">
        <v>1.835</v>
      </c>
      <c r="M127" t="s">
        <v>42</v>
      </c>
      <c r="AH127" s="4">
        <v>20.8</v>
      </c>
      <c r="AI127" s="167">
        <v>75</v>
      </c>
      <c r="AJ127" s="4">
        <v>21.4</v>
      </c>
      <c r="AK127" s="167">
        <v>92</v>
      </c>
    </row>
    <row r="128" spans="1:37" ht="12.75">
      <c r="A128"/>
      <c r="B128" t="s">
        <v>16</v>
      </c>
      <c r="D128">
        <v>0.03768</v>
      </c>
      <c r="E128">
        <v>480</v>
      </c>
      <c r="F128">
        <v>1.85</v>
      </c>
      <c r="H128" s="183" t="s">
        <v>178</v>
      </c>
      <c r="I128" s="182"/>
      <c r="J128" s="189">
        <v>5.74352</v>
      </c>
      <c r="K128" s="179">
        <v>28.5</v>
      </c>
      <c r="L128" s="191">
        <v>1.92</v>
      </c>
      <c r="AH128" s="4">
        <v>20.9</v>
      </c>
      <c r="AI128" s="167">
        <v>71</v>
      </c>
      <c r="AJ128" s="4">
        <v>21.5</v>
      </c>
      <c r="AK128" s="167">
        <v>87</v>
      </c>
    </row>
    <row r="129" spans="1:37" ht="12.75">
      <c r="A129"/>
      <c r="B129" t="s">
        <v>13</v>
      </c>
      <c r="C129" t="s">
        <v>106</v>
      </c>
      <c r="D129">
        <v>5.8425</v>
      </c>
      <c r="E129">
        <v>38</v>
      </c>
      <c r="F129">
        <v>1.81</v>
      </c>
      <c r="H129" s="183" t="s">
        <v>177</v>
      </c>
      <c r="I129" s="182"/>
      <c r="J129" s="189">
        <v>0.03768</v>
      </c>
      <c r="K129" s="179">
        <v>480</v>
      </c>
      <c r="L129" s="191">
        <v>1.85</v>
      </c>
      <c r="AH129" s="4">
        <v>21</v>
      </c>
      <c r="AI129" s="167">
        <v>67</v>
      </c>
      <c r="AJ129" s="4">
        <v>21.6</v>
      </c>
      <c r="AK129" s="167">
        <v>83</v>
      </c>
    </row>
    <row r="130" spans="1:37" ht="12.75">
      <c r="A130"/>
      <c r="B130" t="s">
        <v>15</v>
      </c>
      <c r="C130" t="s">
        <v>106</v>
      </c>
      <c r="D130">
        <v>1.53775</v>
      </c>
      <c r="E130">
        <v>82</v>
      </c>
      <c r="F130">
        <v>1.81</v>
      </c>
      <c r="H130" s="183" t="s">
        <v>175</v>
      </c>
      <c r="I130" s="182"/>
      <c r="J130" s="189">
        <v>5.8425</v>
      </c>
      <c r="K130" s="179">
        <v>38</v>
      </c>
      <c r="L130" s="191">
        <v>1.81</v>
      </c>
      <c r="AH130" s="4">
        <v>21.1</v>
      </c>
      <c r="AI130" s="167">
        <v>63</v>
      </c>
      <c r="AJ130" s="4">
        <v>21.7</v>
      </c>
      <c r="AK130" s="167">
        <v>79</v>
      </c>
    </row>
    <row r="131" spans="1:37" ht="12.75">
      <c r="A131"/>
      <c r="B131" t="s">
        <v>23</v>
      </c>
      <c r="D131">
        <v>12.91</v>
      </c>
      <c r="E131">
        <v>4</v>
      </c>
      <c r="F131">
        <v>1.1</v>
      </c>
      <c r="H131" s="183" t="s">
        <v>176</v>
      </c>
      <c r="I131" s="182"/>
      <c r="J131" s="189">
        <v>1.53775</v>
      </c>
      <c r="K131" s="179">
        <v>82</v>
      </c>
      <c r="L131" s="191">
        <v>1.81</v>
      </c>
      <c r="AH131" s="4">
        <v>21.2</v>
      </c>
      <c r="AI131" s="167">
        <v>59</v>
      </c>
      <c r="AJ131" s="4">
        <v>21.8</v>
      </c>
      <c r="AK131" s="167">
        <v>75</v>
      </c>
    </row>
    <row r="132" spans="1:37" ht="12.75">
      <c r="A132"/>
      <c r="B132" t="s">
        <v>18</v>
      </c>
      <c r="D132">
        <v>0.8465</v>
      </c>
      <c r="E132">
        <v>75</v>
      </c>
      <c r="F132">
        <v>1.42</v>
      </c>
      <c r="H132" s="193" t="s">
        <v>180</v>
      </c>
      <c r="I132" s="194"/>
      <c r="J132" s="195">
        <v>7.399</v>
      </c>
      <c r="K132" s="196">
        <v>24</v>
      </c>
      <c r="L132" s="197">
        <v>1.835</v>
      </c>
      <c r="M132" t="s">
        <v>44</v>
      </c>
      <c r="AH132" s="4">
        <v>21.3</v>
      </c>
      <c r="AI132" s="167">
        <v>55</v>
      </c>
      <c r="AJ132" s="4">
        <v>21.9</v>
      </c>
      <c r="AK132" s="167">
        <v>71</v>
      </c>
    </row>
    <row r="133" spans="1:37" ht="12.75">
      <c r="A133"/>
      <c r="B133" t="s">
        <v>24</v>
      </c>
      <c r="D133">
        <v>10.14</v>
      </c>
      <c r="E133">
        <v>7</v>
      </c>
      <c r="F133">
        <v>1.08</v>
      </c>
      <c r="H133" s="193" t="s">
        <v>188</v>
      </c>
      <c r="I133" s="194"/>
      <c r="J133" s="195">
        <v>0.232</v>
      </c>
      <c r="K133" s="196">
        <v>200</v>
      </c>
      <c r="L133" s="197">
        <v>1.85</v>
      </c>
      <c r="M133" t="s">
        <v>42</v>
      </c>
      <c r="AH133" s="4">
        <v>21.4</v>
      </c>
      <c r="AI133" s="167">
        <v>51</v>
      </c>
      <c r="AJ133" s="4">
        <v>22</v>
      </c>
      <c r="AK133" s="167">
        <v>67</v>
      </c>
    </row>
    <row r="134" spans="1:37" ht="12.75">
      <c r="A134"/>
      <c r="B134" t="s">
        <v>19</v>
      </c>
      <c r="D134">
        <v>0.14354</v>
      </c>
      <c r="E134">
        <v>220</v>
      </c>
      <c r="F134">
        <v>1.4</v>
      </c>
      <c r="H134" s="183" t="s">
        <v>23</v>
      </c>
      <c r="I134" s="182"/>
      <c r="J134" s="189">
        <v>12.91</v>
      </c>
      <c r="K134" s="179">
        <v>4</v>
      </c>
      <c r="L134" s="191">
        <v>1.1</v>
      </c>
      <c r="AH134" s="4">
        <v>21.5</v>
      </c>
      <c r="AI134" s="167">
        <v>47</v>
      </c>
      <c r="AJ134" s="4">
        <v>22.1</v>
      </c>
      <c r="AK134" s="167">
        <v>63</v>
      </c>
    </row>
    <row r="135" spans="1:37" ht="12.75">
      <c r="A135"/>
      <c r="B135" t="s">
        <v>21</v>
      </c>
      <c r="D135">
        <v>0.2797</v>
      </c>
      <c r="E135">
        <v>100</v>
      </c>
      <c r="F135">
        <v>1.35</v>
      </c>
      <c r="H135" s="183" t="s">
        <v>18</v>
      </c>
      <c r="I135" s="182"/>
      <c r="J135" s="189">
        <v>0.8465</v>
      </c>
      <c r="K135" s="179">
        <v>75</v>
      </c>
      <c r="L135" s="191">
        <v>1.42</v>
      </c>
      <c r="AH135" s="4">
        <v>21.6</v>
      </c>
      <c r="AI135" s="167">
        <v>43</v>
      </c>
      <c r="AJ135" s="4">
        <v>22.2</v>
      </c>
      <c r="AK135" s="167">
        <v>59</v>
      </c>
    </row>
    <row r="136" spans="1:37" ht="12.75">
      <c r="A136"/>
      <c r="B136" t="s">
        <v>22</v>
      </c>
      <c r="D136">
        <v>51.39</v>
      </c>
      <c r="E136">
        <v>1.5</v>
      </c>
      <c r="F136">
        <v>1.05</v>
      </c>
      <c r="H136" s="183" t="s">
        <v>24</v>
      </c>
      <c r="I136" s="182"/>
      <c r="J136" s="189">
        <v>10.14</v>
      </c>
      <c r="K136" s="179">
        <v>7</v>
      </c>
      <c r="L136" s="191">
        <v>1.08</v>
      </c>
      <c r="AH136" s="4">
        <v>21.7</v>
      </c>
      <c r="AI136" s="167">
        <v>39</v>
      </c>
      <c r="AJ136" s="4">
        <v>22.3</v>
      </c>
      <c r="AK136" s="167">
        <v>55</v>
      </c>
    </row>
    <row r="137" spans="1:37" ht="12.75">
      <c r="A137" t="s">
        <v>108</v>
      </c>
      <c r="B137" t="s">
        <v>109</v>
      </c>
      <c r="C137" t="s">
        <v>106</v>
      </c>
      <c r="D137">
        <v>58.015</v>
      </c>
      <c r="E137">
        <v>11.5</v>
      </c>
      <c r="F137">
        <v>1.81</v>
      </c>
      <c r="H137" s="183" t="s">
        <v>19</v>
      </c>
      <c r="I137" s="182"/>
      <c r="J137" s="189">
        <v>0.14354</v>
      </c>
      <c r="K137" s="179">
        <v>220</v>
      </c>
      <c r="L137" s="191">
        <v>1.4</v>
      </c>
      <c r="AH137" s="4">
        <v>21.8</v>
      </c>
      <c r="AI137" s="167">
        <v>36</v>
      </c>
      <c r="AJ137" s="4">
        <v>22.4</v>
      </c>
      <c r="AK137" s="167">
        <v>51</v>
      </c>
    </row>
    <row r="138" spans="1:37" ht="12.75">
      <c r="A138" t="s">
        <v>108</v>
      </c>
      <c r="B138" t="s">
        <v>110</v>
      </c>
      <c r="D138">
        <v>0.08713</v>
      </c>
      <c r="E138">
        <v>305.5</v>
      </c>
      <c r="F138">
        <v>1.85</v>
      </c>
      <c r="H138" s="183" t="s">
        <v>21</v>
      </c>
      <c r="I138" s="182"/>
      <c r="J138" s="189">
        <v>0.2797</v>
      </c>
      <c r="K138" s="179">
        <v>100</v>
      </c>
      <c r="L138" s="191">
        <v>1.35</v>
      </c>
      <c r="AH138" s="4">
        <v>21.9</v>
      </c>
      <c r="AI138" s="167">
        <v>32</v>
      </c>
      <c r="AJ138" s="4">
        <v>22.5</v>
      </c>
      <c r="AK138" s="167">
        <v>47</v>
      </c>
    </row>
    <row r="139" spans="1:37" ht="12.75">
      <c r="A139" t="s">
        <v>108</v>
      </c>
      <c r="B139" t="s">
        <v>111</v>
      </c>
      <c r="C139" t="s">
        <v>106</v>
      </c>
      <c r="D139">
        <v>20.5173</v>
      </c>
      <c r="E139">
        <v>15.5</v>
      </c>
      <c r="F139">
        <v>1.92</v>
      </c>
      <c r="H139" s="183" t="s">
        <v>22</v>
      </c>
      <c r="I139" s="182"/>
      <c r="J139" s="189">
        <v>51.39</v>
      </c>
      <c r="K139" s="179">
        <v>1.5</v>
      </c>
      <c r="L139" s="191">
        <v>1.05</v>
      </c>
      <c r="AH139" s="4">
        <v>22</v>
      </c>
      <c r="AI139" s="167">
        <v>28</v>
      </c>
      <c r="AJ139" s="4">
        <v>22.6</v>
      </c>
      <c r="AK139" s="167">
        <v>43</v>
      </c>
    </row>
    <row r="140" spans="1:37" ht="12.75">
      <c r="A140"/>
      <c r="B140"/>
      <c r="F140"/>
      <c r="H140" s="183"/>
      <c r="I140" s="182"/>
      <c r="J140" s="189"/>
      <c r="K140" s="179"/>
      <c r="L140" s="191"/>
      <c r="AH140" s="4">
        <v>22.1</v>
      </c>
      <c r="AI140" s="167">
        <v>25</v>
      </c>
      <c r="AJ140" s="4">
        <v>22.7</v>
      </c>
      <c r="AK140" s="167">
        <v>39</v>
      </c>
    </row>
    <row r="141" spans="1:37" ht="12.75">
      <c r="A141"/>
      <c r="B141" t="s">
        <v>112</v>
      </c>
      <c r="C141" t="s">
        <v>102</v>
      </c>
      <c r="D141" t="s">
        <v>103</v>
      </c>
      <c r="E141" t="s">
        <v>104</v>
      </c>
      <c r="F141" t="s">
        <v>105</v>
      </c>
      <c r="H141" s="184" t="s">
        <v>181</v>
      </c>
      <c r="I141" s="185"/>
      <c r="J141" s="189"/>
      <c r="K141" s="179"/>
      <c r="L141" s="191"/>
      <c r="AH141" s="4">
        <v>22.2</v>
      </c>
      <c r="AI141" s="167">
        <v>21</v>
      </c>
      <c r="AJ141" s="4">
        <v>22.8</v>
      </c>
      <c r="AK141" s="167">
        <v>36</v>
      </c>
    </row>
    <row r="142" spans="1:37" ht="12.75">
      <c r="A142"/>
      <c r="B142" t="s">
        <v>13</v>
      </c>
      <c r="C142" t="s">
        <v>106</v>
      </c>
      <c r="D142">
        <v>4.99087</v>
      </c>
      <c r="E142">
        <v>42.5</v>
      </c>
      <c r="F142">
        <v>1.81</v>
      </c>
      <c r="H142" s="183" t="s">
        <v>175</v>
      </c>
      <c r="I142" s="182"/>
      <c r="J142" s="189">
        <v>4.99087</v>
      </c>
      <c r="K142" s="179">
        <v>42.5</v>
      </c>
      <c r="L142" s="191">
        <v>1.81</v>
      </c>
      <c r="AH142" s="4">
        <v>22.3</v>
      </c>
      <c r="AI142" s="167">
        <v>17</v>
      </c>
      <c r="AJ142" s="4">
        <v>22.9</v>
      </c>
      <c r="AK142" s="167">
        <v>32</v>
      </c>
    </row>
    <row r="143" spans="1:37" ht="12.75">
      <c r="A143"/>
      <c r="B143" t="s">
        <v>4</v>
      </c>
      <c r="C143" t="s">
        <v>106</v>
      </c>
      <c r="D143">
        <v>0.11193</v>
      </c>
      <c r="E143">
        <v>254</v>
      </c>
      <c r="F143">
        <v>1.88</v>
      </c>
      <c r="H143" s="183" t="s">
        <v>182</v>
      </c>
      <c r="I143" s="182"/>
      <c r="J143" s="189">
        <v>0.11193</v>
      </c>
      <c r="K143" s="179">
        <v>254</v>
      </c>
      <c r="L143" s="191">
        <v>1.88</v>
      </c>
      <c r="AH143" s="4">
        <v>22.4</v>
      </c>
      <c r="AI143" s="167">
        <v>14</v>
      </c>
      <c r="AJ143" s="4">
        <v>23</v>
      </c>
      <c r="AK143" s="167">
        <v>28</v>
      </c>
    </row>
    <row r="144" spans="1:37" ht="12.75">
      <c r="A144"/>
      <c r="B144" t="s">
        <v>113</v>
      </c>
      <c r="C144" t="s">
        <v>106</v>
      </c>
      <c r="D144">
        <v>9.23076</v>
      </c>
      <c r="E144">
        <v>26.7</v>
      </c>
      <c r="F144">
        <v>1.835</v>
      </c>
      <c r="H144" s="183" t="s">
        <v>183</v>
      </c>
      <c r="I144" s="182"/>
      <c r="J144" s="189">
        <v>9.23076</v>
      </c>
      <c r="K144" s="179">
        <v>26.7</v>
      </c>
      <c r="L144" s="191">
        <v>1.835</v>
      </c>
      <c r="AH144" s="4">
        <v>22.5</v>
      </c>
      <c r="AI144" s="167">
        <v>10</v>
      </c>
      <c r="AJ144" s="4">
        <v>23.1</v>
      </c>
      <c r="AK144" s="167">
        <v>25</v>
      </c>
    </row>
    <row r="145" spans="1:37" ht="12.75">
      <c r="A145"/>
      <c r="B145" t="s">
        <v>18</v>
      </c>
      <c r="D145">
        <v>1.84523</v>
      </c>
      <c r="E145">
        <v>75</v>
      </c>
      <c r="F145">
        <v>1.348</v>
      </c>
      <c r="H145" s="193" t="s">
        <v>184</v>
      </c>
      <c r="I145" s="194"/>
      <c r="J145" s="195" t="s">
        <v>185</v>
      </c>
      <c r="K145" s="196"/>
      <c r="L145" s="197"/>
      <c r="AH145" s="4">
        <v>22.6</v>
      </c>
      <c r="AI145" s="167">
        <v>7</v>
      </c>
      <c r="AJ145" s="4">
        <v>23.2</v>
      </c>
      <c r="AK145" s="167">
        <v>21</v>
      </c>
    </row>
    <row r="146" spans="1:37" ht="12.75">
      <c r="A146"/>
      <c r="B146" t="s">
        <v>19</v>
      </c>
      <c r="D146">
        <v>0.188807</v>
      </c>
      <c r="E146">
        <v>210</v>
      </c>
      <c r="F146">
        <v>1.41</v>
      </c>
      <c r="H146" s="193" t="s">
        <v>186</v>
      </c>
      <c r="I146" s="194"/>
      <c r="J146" s="195" t="s">
        <v>185</v>
      </c>
      <c r="K146" s="196"/>
      <c r="L146" s="197"/>
      <c r="AH146" s="4">
        <v>22.7</v>
      </c>
      <c r="AI146" s="167">
        <v>3</v>
      </c>
      <c r="AJ146" s="4">
        <v>23.3</v>
      </c>
      <c r="AK146" s="167">
        <v>17</v>
      </c>
    </row>
    <row r="147" spans="1:37" ht="12.75">
      <c r="A147"/>
      <c r="B147" t="s">
        <v>22</v>
      </c>
      <c r="D147">
        <v>56.0211</v>
      </c>
      <c r="E147">
        <v>1.5</v>
      </c>
      <c r="F147">
        <v>1.05</v>
      </c>
      <c r="H147" s="183" t="s">
        <v>187</v>
      </c>
      <c r="I147" s="182"/>
      <c r="J147" s="189">
        <v>1.84523</v>
      </c>
      <c r="K147" s="179">
        <v>75</v>
      </c>
      <c r="L147" s="191">
        <v>1.348</v>
      </c>
      <c r="AH147" s="4">
        <v>22.8</v>
      </c>
      <c r="AI147" s="168" t="s">
        <v>165</v>
      </c>
      <c r="AJ147" s="4">
        <v>23.4</v>
      </c>
      <c r="AK147" s="167">
        <v>14</v>
      </c>
    </row>
    <row r="148" spans="1:37" ht="12.75">
      <c r="A148"/>
      <c r="B148" t="s">
        <v>24</v>
      </c>
      <c r="D148">
        <v>15.9803</v>
      </c>
      <c r="E148">
        <v>3.8</v>
      </c>
      <c r="F148">
        <v>1.04</v>
      </c>
      <c r="H148" s="183" t="s">
        <v>19</v>
      </c>
      <c r="I148" s="182"/>
      <c r="J148" s="189">
        <v>0.188807</v>
      </c>
      <c r="K148" s="179">
        <v>210</v>
      </c>
      <c r="L148" s="191">
        <v>1.41</v>
      </c>
      <c r="AH148" s="4">
        <v>22.9</v>
      </c>
      <c r="AI148" s="168" t="s">
        <v>165</v>
      </c>
      <c r="AJ148" s="4">
        <v>23.5</v>
      </c>
      <c r="AK148" s="167">
        <v>10</v>
      </c>
    </row>
    <row r="149" spans="1:37" ht="12.75">
      <c r="A149" t="s">
        <v>114</v>
      </c>
      <c r="B149" t="s">
        <v>3</v>
      </c>
      <c r="C149" t="s">
        <v>106</v>
      </c>
      <c r="D149">
        <v>17.857</v>
      </c>
      <c r="E149">
        <v>21</v>
      </c>
      <c r="F149">
        <v>1.81</v>
      </c>
      <c r="H149" s="183" t="s">
        <v>22</v>
      </c>
      <c r="I149" s="182"/>
      <c r="J149" s="189">
        <v>56.0211</v>
      </c>
      <c r="K149" s="179">
        <v>1.5</v>
      </c>
      <c r="L149" s="191">
        <v>1.05</v>
      </c>
      <c r="AH149" s="4">
        <v>23</v>
      </c>
      <c r="AI149" s="168" t="s">
        <v>165</v>
      </c>
      <c r="AJ149" s="4">
        <v>23.6</v>
      </c>
      <c r="AK149" s="167">
        <v>7</v>
      </c>
    </row>
    <row r="150" spans="1:37" ht="13.5" thickBot="1">
      <c r="A150" t="s">
        <v>114</v>
      </c>
      <c r="B150" t="s">
        <v>15</v>
      </c>
      <c r="C150" t="s">
        <v>106</v>
      </c>
      <c r="D150">
        <v>1.34285</v>
      </c>
      <c r="E150">
        <v>91.7</v>
      </c>
      <c r="F150">
        <v>1.81</v>
      </c>
      <c r="H150" s="186" t="s">
        <v>24</v>
      </c>
      <c r="I150" s="187"/>
      <c r="J150" s="190">
        <v>15.9803</v>
      </c>
      <c r="K150" s="188">
        <v>3.8</v>
      </c>
      <c r="L150" s="192">
        <v>1.04</v>
      </c>
      <c r="AH150" s="4">
        <v>23.1</v>
      </c>
      <c r="AI150" s="168" t="s">
        <v>165</v>
      </c>
      <c r="AJ150" s="4">
        <v>23.7</v>
      </c>
      <c r="AK150" s="167">
        <v>3</v>
      </c>
    </row>
    <row r="151" spans="1:37" ht="12.75">
      <c r="A151" t="s">
        <v>114</v>
      </c>
      <c r="B151" t="s">
        <v>16</v>
      </c>
      <c r="D151">
        <v>0.02883</v>
      </c>
      <c r="E151">
        <v>535</v>
      </c>
      <c r="F151">
        <v>1.88</v>
      </c>
      <c r="AH151" s="4">
        <v>23.2</v>
      </c>
      <c r="AI151" s="168" t="s">
        <v>165</v>
      </c>
      <c r="AJ151" s="4">
        <v>23.8</v>
      </c>
      <c r="AK151" s="168" t="s">
        <v>165</v>
      </c>
    </row>
    <row r="152" spans="1:37" ht="12.75">
      <c r="A152" t="s">
        <v>114</v>
      </c>
      <c r="B152" t="s">
        <v>21</v>
      </c>
      <c r="D152">
        <v>0.44125</v>
      </c>
      <c r="E152">
        <v>100</v>
      </c>
      <c r="F152">
        <v>1.35</v>
      </c>
      <c r="AH152" s="4">
        <v>23.3</v>
      </c>
      <c r="AI152" s="168" t="s">
        <v>165</v>
      </c>
      <c r="AJ152" s="4">
        <v>23.9</v>
      </c>
      <c r="AK152" s="168" t="s">
        <v>165</v>
      </c>
    </row>
    <row r="153" spans="1:6" ht="12.75">
      <c r="A153" t="s">
        <v>114</v>
      </c>
      <c r="B153" t="s">
        <v>23</v>
      </c>
      <c r="D153">
        <v>12.3311</v>
      </c>
      <c r="E153">
        <v>3</v>
      </c>
      <c r="F153">
        <v>1.1</v>
      </c>
    </row>
    <row r="154" spans="1:6" ht="12.75">
      <c r="A154" t="s">
        <v>108</v>
      </c>
      <c r="B154" t="s">
        <v>111</v>
      </c>
      <c r="C154" t="s">
        <v>106</v>
      </c>
      <c r="D154">
        <v>20.0479</v>
      </c>
      <c r="E154">
        <v>17</v>
      </c>
      <c r="F154">
        <v>1.835</v>
      </c>
    </row>
    <row r="155" spans="1:6" ht="12.75">
      <c r="A155"/>
      <c r="B155"/>
      <c r="F155"/>
    </row>
    <row r="156" spans="1:6" ht="12.75">
      <c r="A156"/>
      <c r="B156" t="s">
        <v>115</v>
      </c>
      <c r="F156"/>
    </row>
    <row r="157" spans="1:6" ht="12.75">
      <c r="A157"/>
      <c r="B157" t="s">
        <v>3</v>
      </c>
      <c r="C157">
        <v>0.24</v>
      </c>
      <c r="F157"/>
    </row>
    <row r="158" spans="1:6" ht="12.75">
      <c r="A158"/>
      <c r="B158" t="s">
        <v>107</v>
      </c>
      <c r="C158">
        <v>0.24</v>
      </c>
      <c r="F158"/>
    </row>
    <row r="159" spans="1:6" ht="12.75">
      <c r="A159"/>
      <c r="B159" t="s">
        <v>13</v>
      </c>
      <c r="C159">
        <v>0.24</v>
      </c>
      <c r="F159"/>
    </row>
    <row r="160" spans="1:6" ht="12.75">
      <c r="A160"/>
      <c r="B160" t="s">
        <v>15</v>
      </c>
      <c r="C160">
        <v>0.14</v>
      </c>
      <c r="F160"/>
    </row>
  </sheetData>
  <sheetProtection/>
  <mergeCells count="6">
    <mergeCell ref="N1:O1"/>
    <mergeCell ref="A105:F105"/>
    <mergeCell ref="H105:M105"/>
    <mergeCell ref="B1:E1"/>
    <mergeCell ref="F1:H1"/>
    <mergeCell ref="I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 Rosalie Coombs</cp:lastModifiedBy>
  <cp:lastPrinted>2008-06-20T11:51:52Z</cp:lastPrinted>
  <dcterms:created xsi:type="dcterms:W3CDTF">2001-08-28T15:25:30Z</dcterms:created>
  <dcterms:modified xsi:type="dcterms:W3CDTF">2008-07-03T23:06:16Z</dcterms:modified>
  <cp:category/>
  <cp:version/>
  <cp:contentType/>
  <cp:contentStatus/>
</cp:coreProperties>
</file>